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sfsu-my.sharepoint.com/personal/920789516_sfsu_edu/Documents/"/>
    </mc:Choice>
  </mc:AlternateContent>
  <xr:revisionPtr revIDLastSave="3131" documentId="8_{3F5289AD-AED2-C148-BC2F-7215D2F1E9D2}" xr6:coauthVersionLast="47" xr6:coauthVersionMax="47" xr10:uidLastSave="{193A6D5E-72C4-684E-A2F4-EC83AFA59E41}"/>
  <bookViews>
    <workbookView xWindow="0" yWindow="500" windowWidth="28800" windowHeight="16540" activeTab="5" xr2:uid="{555ED9BB-F66B-2246-80EE-8CA5DE3FCDFA}"/>
  </bookViews>
  <sheets>
    <sheet name="chapter 8" sheetId="1" r:id="rId1"/>
    <sheet name="chapter 9" sheetId="2" r:id="rId2"/>
    <sheet name="supplement B" sheetId="3" r:id="rId3"/>
    <sheet name="Chapter 6" sheetId="4" r:id="rId4"/>
    <sheet name="Chapter 12" sheetId="5" r:id="rId5"/>
    <sheet name="Chapter 16" sheetId="6" r:id="rId6"/>
  </sheets>
  <definedNames>
    <definedName name="solver_adj" localSheetId="2" hidden="1">'supplement B'!$D$7:$E$7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'supplement B'!$H$15</definedName>
    <definedName name="solver_lhs2" localSheetId="2" hidden="1">'supplement B'!$H$16</definedName>
    <definedName name="solver_lhs3" localSheetId="2" hidden="1">'supplement B'!$H$17</definedName>
    <definedName name="solver_lhs4" localSheetId="2" hidden="1">'supplement B'!$H$18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opt" localSheetId="2" hidden="1">'supplement B'!$H$10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hs1" localSheetId="2" hidden="1">'supplement B'!$J$15</definedName>
    <definedName name="solver_rhs2" localSheetId="2" hidden="1">'supplement B'!$J$16</definedName>
    <definedName name="solver_rhs3" localSheetId="2" hidden="1">'supplement B'!$J$17</definedName>
    <definedName name="solver_rhs4" localSheetId="2" hidden="1">'supplement B'!$J$18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6" l="1"/>
  <c r="F36" i="6"/>
  <c r="C37" i="6"/>
  <c r="M22" i="6"/>
  <c r="M26" i="6"/>
  <c r="M25" i="6"/>
  <c r="M24" i="6"/>
  <c r="M23" i="6"/>
  <c r="M21" i="6"/>
  <c r="M20" i="6"/>
  <c r="M19" i="6"/>
  <c r="B15" i="6" l="1"/>
  <c r="J12" i="6"/>
  <c r="J5" i="6"/>
  <c r="J11" i="6"/>
  <c r="J10" i="6"/>
  <c r="J9" i="6"/>
  <c r="J8" i="6"/>
  <c r="J7" i="6"/>
  <c r="J6" i="6"/>
  <c r="J4" i="6"/>
  <c r="C46" i="5"/>
  <c r="C177" i="5"/>
  <c r="E175" i="5"/>
  <c r="C163" i="5"/>
  <c r="B169" i="5"/>
  <c r="C167" i="5" s="1"/>
  <c r="G166" i="5"/>
  <c r="H162" i="5"/>
  <c r="D160" i="5"/>
  <c r="H145" i="5"/>
  <c r="J127" i="5"/>
  <c r="G126" i="5"/>
  <c r="E124" i="5"/>
  <c r="E122" i="5"/>
  <c r="C120" i="5"/>
  <c r="D118" i="5"/>
  <c r="C36" i="6" l="1"/>
  <c r="D170" i="5"/>
  <c r="J60" i="5" l="1"/>
  <c r="I64" i="5" s="1"/>
  <c r="I50" i="5"/>
  <c r="E59" i="5" s="1"/>
  <c r="M57" i="5" l="1"/>
  <c r="N56" i="5"/>
  <c r="D37" i="5" l="1"/>
  <c r="H45" i="5"/>
  <c r="H30" i="5"/>
  <c r="I31" i="5" s="1"/>
  <c r="D28" i="5"/>
  <c r="F32" i="5" s="1"/>
  <c r="E13" i="5" l="1"/>
  <c r="E15" i="5" s="1"/>
  <c r="E12" i="5"/>
  <c r="E14" i="5" s="1"/>
  <c r="E16" i="5" l="1"/>
  <c r="D108" i="4"/>
  <c r="D109" i="4"/>
  <c r="H102" i="4"/>
  <c r="H101" i="4"/>
  <c r="H100" i="4"/>
  <c r="H99" i="4"/>
  <c r="H98" i="4"/>
  <c r="H97" i="4"/>
  <c r="H96" i="4"/>
  <c r="H95" i="4"/>
  <c r="H94" i="4"/>
  <c r="H93" i="4"/>
  <c r="H92" i="4"/>
  <c r="C205" i="4"/>
  <c r="C204" i="4"/>
  <c r="C202" i="4"/>
  <c r="G200" i="4"/>
  <c r="G199" i="4"/>
  <c r="G198" i="4"/>
  <c r="G197" i="4"/>
  <c r="G196" i="4"/>
  <c r="G195" i="4"/>
  <c r="G194" i="4"/>
  <c r="G193" i="4"/>
  <c r="G192" i="4"/>
  <c r="G191" i="4"/>
  <c r="G190" i="4"/>
  <c r="I153" i="4"/>
  <c r="I152" i="4"/>
  <c r="I151" i="4"/>
  <c r="I150" i="4"/>
  <c r="I149" i="4"/>
  <c r="I148" i="4"/>
  <c r="I154" i="4" s="1"/>
  <c r="H153" i="4"/>
  <c r="H152" i="4"/>
  <c r="H151" i="4"/>
  <c r="H150" i="4"/>
  <c r="H154" i="4" s="1"/>
  <c r="D169" i="4" s="1"/>
  <c r="H149" i="4"/>
  <c r="H148" i="4"/>
  <c r="M147" i="4"/>
  <c r="N147" i="4" s="1"/>
  <c r="M176" i="4"/>
  <c r="N176" i="4" s="1"/>
  <c r="M175" i="4"/>
  <c r="N175" i="4" s="1"/>
  <c r="M174" i="4"/>
  <c r="N174" i="4" s="1"/>
  <c r="M173" i="4"/>
  <c r="N173" i="4" s="1"/>
  <c r="M172" i="4"/>
  <c r="N172" i="4" s="1"/>
  <c r="M171" i="4"/>
  <c r="N171" i="4" s="1"/>
  <c r="M170" i="4"/>
  <c r="N170" i="4" s="1"/>
  <c r="M169" i="4"/>
  <c r="N169" i="4" s="1"/>
  <c r="M168" i="4"/>
  <c r="N168" i="4" s="1"/>
  <c r="M167" i="4"/>
  <c r="N167" i="4" s="1"/>
  <c r="M166" i="4"/>
  <c r="N166" i="4" s="1"/>
  <c r="M165" i="4"/>
  <c r="N165" i="4" s="1"/>
  <c r="M164" i="4"/>
  <c r="N164" i="4" s="1"/>
  <c r="M163" i="4"/>
  <c r="N163" i="4" s="1"/>
  <c r="M162" i="4"/>
  <c r="N162" i="4" s="1"/>
  <c r="M161" i="4"/>
  <c r="N161" i="4" s="1"/>
  <c r="M160" i="4"/>
  <c r="N160" i="4" s="1"/>
  <c r="M159" i="4"/>
  <c r="N159" i="4" s="1"/>
  <c r="M158" i="4"/>
  <c r="N158" i="4" s="1"/>
  <c r="M157" i="4"/>
  <c r="N157" i="4" s="1"/>
  <c r="M156" i="4"/>
  <c r="N156" i="4" s="1"/>
  <c r="M155" i="4"/>
  <c r="N155" i="4" s="1"/>
  <c r="M154" i="4"/>
  <c r="N154" i="4" s="1"/>
  <c r="M153" i="4"/>
  <c r="N153" i="4" s="1"/>
  <c r="M152" i="4"/>
  <c r="N152" i="4" s="1"/>
  <c r="M151" i="4"/>
  <c r="N151" i="4" s="1"/>
  <c r="M150" i="4"/>
  <c r="N150" i="4" s="1"/>
  <c r="M149" i="4"/>
  <c r="N149" i="4" s="1"/>
  <c r="M148" i="4"/>
  <c r="N148" i="4" s="1"/>
  <c r="D158" i="4"/>
  <c r="C142" i="4"/>
  <c r="C141" i="4"/>
  <c r="C120" i="4"/>
  <c r="C122" i="4" s="1"/>
  <c r="C103" i="4"/>
  <c r="C83" i="4"/>
  <c r="H81" i="4"/>
  <c r="H80" i="4"/>
  <c r="H79" i="4"/>
  <c r="H78" i="4"/>
  <c r="H77" i="4"/>
  <c r="H76" i="4"/>
  <c r="D70" i="4"/>
  <c r="D64" i="4"/>
  <c r="D69" i="4" s="1"/>
  <c r="D71" i="4" s="1"/>
  <c r="C46" i="4"/>
  <c r="C44" i="4"/>
  <c r="C45" i="4" s="1"/>
  <c r="E26" i="4"/>
  <c r="E27" i="4"/>
  <c r="O24" i="4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E9" i="4"/>
  <c r="D9" i="4"/>
  <c r="C9" i="4"/>
  <c r="B9" i="4"/>
  <c r="E8" i="4"/>
  <c r="D8" i="4"/>
  <c r="C8" i="4"/>
  <c r="B8" i="4"/>
  <c r="C33" i="3"/>
  <c r="C32" i="3"/>
  <c r="C31" i="3"/>
  <c r="C36" i="3"/>
  <c r="C37" i="3"/>
  <c r="C38" i="3"/>
  <c r="C44" i="3"/>
  <c r="C43" i="3"/>
  <c r="B86" i="3"/>
  <c r="H89" i="3"/>
  <c r="B85" i="3"/>
  <c r="B84" i="3"/>
  <c r="E80" i="3"/>
  <c r="E77" i="3"/>
  <c r="F56" i="3"/>
  <c r="K61" i="3" s="1"/>
  <c r="F55" i="3"/>
  <c r="K60" i="3" s="1"/>
  <c r="K62" i="3"/>
  <c r="I9" i="2"/>
  <c r="F9" i="2"/>
  <c r="D64" i="1"/>
  <c r="D53" i="1"/>
  <c r="D63" i="1"/>
  <c r="J219" i="1"/>
  <c r="J205" i="1"/>
  <c r="J208" i="1" s="1"/>
  <c r="I213" i="1"/>
  <c r="I216" i="1"/>
  <c r="C225" i="1"/>
  <c r="D225" i="1"/>
  <c r="E225" i="1"/>
  <c r="F225" i="1"/>
  <c r="G225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P185" i="1"/>
  <c r="Q185" i="1" s="1"/>
  <c r="P183" i="1"/>
  <c r="Q183" i="1" s="1"/>
  <c r="P182" i="1"/>
  <c r="O186" i="1"/>
  <c r="P186" i="1" s="1"/>
  <c r="Q186" i="1" s="1"/>
  <c r="O185" i="1"/>
  <c r="O184" i="1"/>
  <c r="P184" i="1" s="1"/>
  <c r="Q184" i="1" s="1"/>
  <c r="O183" i="1"/>
  <c r="O182" i="1"/>
  <c r="L186" i="1"/>
  <c r="M186" i="1" s="1"/>
  <c r="L185" i="1"/>
  <c r="M185" i="1" s="1"/>
  <c r="K186" i="1"/>
  <c r="K185" i="1"/>
  <c r="K184" i="1"/>
  <c r="L184" i="1" s="1"/>
  <c r="M184" i="1" s="1"/>
  <c r="K183" i="1"/>
  <c r="L183" i="1" s="1"/>
  <c r="M183" i="1" s="1"/>
  <c r="K182" i="1"/>
  <c r="L182" i="1" s="1"/>
  <c r="H186" i="1"/>
  <c r="I186" i="1" s="1"/>
  <c r="G186" i="1"/>
  <c r="G185" i="1"/>
  <c r="H185" i="1" s="1"/>
  <c r="I185" i="1" s="1"/>
  <c r="G184" i="1"/>
  <c r="H184" i="1" s="1"/>
  <c r="I184" i="1" s="1"/>
  <c r="G183" i="1"/>
  <c r="H183" i="1" s="1"/>
  <c r="I183" i="1" s="1"/>
  <c r="G182" i="1"/>
  <c r="H182" i="1" s="1"/>
  <c r="D145" i="1"/>
  <c r="C145" i="1"/>
  <c r="F144" i="1"/>
  <c r="F143" i="1"/>
  <c r="F142" i="1"/>
  <c r="F141" i="1"/>
  <c r="F140" i="1"/>
  <c r="E144" i="1"/>
  <c r="E143" i="1"/>
  <c r="E142" i="1"/>
  <c r="E141" i="1"/>
  <c r="E140" i="1"/>
  <c r="D124" i="1"/>
  <c r="C124" i="1"/>
  <c r="O122" i="1"/>
  <c r="O121" i="1"/>
  <c r="O120" i="1"/>
  <c r="O119" i="1"/>
  <c r="O118" i="1"/>
  <c r="F122" i="1"/>
  <c r="F121" i="1"/>
  <c r="F120" i="1"/>
  <c r="F119" i="1"/>
  <c r="F118" i="1"/>
  <c r="E122" i="1"/>
  <c r="E121" i="1"/>
  <c r="E120" i="1"/>
  <c r="E119" i="1"/>
  <c r="E118" i="1"/>
  <c r="Y102" i="1"/>
  <c r="Z102" i="1" s="1"/>
  <c r="S102" i="1"/>
  <c r="T102" i="1" s="1"/>
  <c r="W104" i="1"/>
  <c r="Y104" i="1" s="1"/>
  <c r="Z104" i="1" s="1"/>
  <c r="O104" i="1"/>
  <c r="S104" i="1" s="1"/>
  <c r="T104" i="1" s="1"/>
  <c r="Y85" i="1"/>
  <c r="T85" i="1"/>
  <c r="V87" i="1"/>
  <c r="V89" i="1" s="1"/>
  <c r="V91" i="1" s="1"/>
  <c r="V93" i="1" s="1"/>
  <c r="X93" i="1" s="1"/>
  <c r="Y93" i="1" s="1"/>
  <c r="O87" i="1"/>
  <c r="S87" i="1" s="1"/>
  <c r="T87" i="1" s="1"/>
  <c r="W77" i="1"/>
  <c r="AE76" i="1"/>
  <c r="AF76" i="1" s="1"/>
  <c r="AG76" i="1" s="1"/>
  <c r="AE75" i="1"/>
  <c r="AF75" i="1" s="1"/>
  <c r="AG75" i="1" s="1"/>
  <c r="AE74" i="1"/>
  <c r="AF74" i="1" s="1"/>
  <c r="AG74" i="1" s="1"/>
  <c r="AE73" i="1"/>
  <c r="AF73" i="1" s="1"/>
  <c r="Z78" i="1"/>
  <c r="AA76" i="1"/>
  <c r="AA75" i="1"/>
  <c r="AA74" i="1"/>
  <c r="AA73" i="1"/>
  <c r="S75" i="1"/>
  <c r="S73" i="1"/>
  <c r="W76" i="1"/>
  <c r="Y76" i="1" s="1"/>
  <c r="W75" i="1"/>
  <c r="Y75" i="1" s="1"/>
  <c r="W74" i="1"/>
  <c r="Y74" i="1" s="1"/>
  <c r="W73" i="1"/>
  <c r="Y73" i="1" s="1"/>
  <c r="F76" i="1"/>
  <c r="O76" i="1" s="1"/>
  <c r="F75" i="1"/>
  <c r="O75" i="1" s="1"/>
  <c r="F74" i="1"/>
  <c r="O74" i="1" s="1"/>
  <c r="P74" i="1" s="1"/>
  <c r="S74" i="1" s="1"/>
  <c r="F73" i="1"/>
  <c r="O73" i="1" s="1"/>
  <c r="AD53" i="1"/>
  <c r="F49" i="1"/>
  <c r="E49" i="1"/>
  <c r="AF32" i="1"/>
  <c r="AG32" i="1" s="1"/>
  <c r="AI32" i="1" s="1"/>
  <c r="AF33" i="1"/>
  <c r="AG33" i="1" s="1"/>
  <c r="AH33" i="1" s="1"/>
  <c r="AF34" i="1"/>
  <c r="AG34" i="1" s="1"/>
  <c r="AI34" i="1" s="1"/>
  <c r="AF35" i="1"/>
  <c r="AG35" i="1" s="1"/>
  <c r="V34" i="1"/>
  <c r="AK34" i="1" s="1"/>
  <c r="AL34" i="1" s="1"/>
  <c r="V35" i="1"/>
  <c r="AK35" i="1" s="1"/>
  <c r="AL35" i="1" s="1"/>
  <c r="AQ35" i="1" s="1"/>
  <c r="V37" i="1"/>
  <c r="AF36" i="1"/>
  <c r="AG36" i="1" s="1"/>
  <c r="AH36" i="1" s="1"/>
  <c r="AC36" i="1"/>
  <c r="AO36" i="1" s="1"/>
  <c r="AO37" i="1" s="1"/>
  <c r="V36" i="1"/>
  <c r="AK36" i="1" s="1"/>
  <c r="AL36" i="1" s="1"/>
  <c r="AQ36" i="1" s="1"/>
  <c r="F26" i="1"/>
  <c r="F24" i="1"/>
  <c r="F21" i="1"/>
  <c r="F8" i="1"/>
  <c r="F7" i="1"/>
  <c r="D164" i="4" l="1"/>
  <c r="D163" i="4"/>
  <c r="C87" i="4"/>
  <c r="C121" i="4"/>
  <c r="D66" i="4"/>
  <c r="D65" i="4"/>
  <c r="C84" i="4"/>
  <c r="C86" i="4"/>
  <c r="N178" i="4"/>
  <c r="N184" i="4" s="1"/>
  <c r="F8" i="4"/>
  <c r="G8" i="4" s="1"/>
  <c r="P21" i="4"/>
  <c r="P26" i="4" s="1"/>
  <c r="P27" i="4" s="1"/>
  <c r="P29" i="4" s="1"/>
  <c r="E14" i="4" s="1"/>
  <c r="D191" i="1"/>
  <c r="I182" i="1"/>
  <c r="E191" i="1" s="1"/>
  <c r="D193" i="1"/>
  <c r="M182" i="1"/>
  <c r="E192" i="1" s="1"/>
  <c r="D192" i="1"/>
  <c r="Q182" i="1"/>
  <c r="E193" i="1" s="1"/>
  <c r="E145" i="1"/>
  <c r="F145" i="1"/>
  <c r="F124" i="1"/>
  <c r="E124" i="1"/>
  <c r="O124" i="1"/>
  <c r="W106" i="1"/>
  <c r="O106" i="1"/>
  <c r="O89" i="1"/>
  <c r="O91" i="1" s="1"/>
  <c r="O93" i="1" s="1"/>
  <c r="X87" i="1"/>
  <c r="Y87" i="1" s="1"/>
  <c r="X89" i="1"/>
  <c r="Y89" i="1" s="1"/>
  <c r="X91" i="1"/>
  <c r="Y91" i="1" s="1"/>
  <c r="AA79" i="1"/>
  <c r="AF78" i="1"/>
  <c r="AG73" i="1"/>
  <c r="AG79" i="1" s="1"/>
  <c r="P78" i="1"/>
  <c r="S79" i="1"/>
  <c r="AI36" i="1"/>
  <c r="AH37" i="1"/>
  <c r="AI33" i="1"/>
  <c r="AQ34" i="1"/>
  <c r="AQ37" i="1" s="1"/>
  <c r="AL37" i="1"/>
  <c r="D56" i="1"/>
  <c r="D59" i="1"/>
  <c r="D58" i="1"/>
  <c r="D57" i="1"/>
  <c r="E56" i="1"/>
  <c r="E59" i="1"/>
  <c r="E58" i="1"/>
  <c r="E57" i="1"/>
  <c r="N185" i="4" l="1"/>
  <c r="E13" i="4"/>
  <c r="D148" i="1"/>
  <c r="D150" i="1" s="1"/>
  <c r="S129" i="1"/>
  <c r="S131" i="1" s="1"/>
  <c r="S133" i="1" s="1"/>
  <c r="E127" i="1"/>
  <c r="E130" i="1" s="1"/>
  <c r="S106" i="1"/>
  <c r="T106" i="1" s="1"/>
  <c r="O108" i="1"/>
  <c r="Y106" i="1"/>
  <c r="Z106" i="1" s="1"/>
  <c r="W108" i="1"/>
  <c r="W110" i="1" s="1"/>
  <c r="Y95" i="1"/>
  <c r="AI37" i="1"/>
  <c r="S89" i="1"/>
  <c r="T89" i="1" s="1"/>
  <c r="F57" i="1"/>
  <c r="F58" i="1"/>
  <c r="D65" i="1" s="1"/>
  <c r="F59" i="1"/>
  <c r="D66" i="1" s="1"/>
  <c r="F56" i="1"/>
  <c r="D154" i="1" l="1"/>
  <c r="D152" i="1"/>
  <c r="Y110" i="1"/>
  <c r="Z110" i="1" s="1"/>
  <c r="Y108" i="1"/>
  <c r="Z108" i="1" s="1"/>
  <c r="S108" i="1"/>
  <c r="T108" i="1" s="1"/>
  <c r="O110" i="1"/>
  <c r="S110" i="1" s="1"/>
  <c r="T110" i="1" s="1"/>
  <c r="S93" i="1"/>
  <c r="T93" i="1" s="1"/>
  <c r="S91" i="1"/>
  <c r="T91" i="1" s="1"/>
  <c r="T112" i="1" l="1"/>
  <c r="Z112" i="1"/>
  <c r="T95" i="1"/>
</calcChain>
</file>

<file path=xl/sharedStrings.xml><?xml version="1.0" encoding="utf-8"?>
<sst xmlns="http://schemas.openxmlformats.org/spreadsheetml/2006/main" count="791" uniqueCount="512">
  <si>
    <t>HW2 Chapter 8 forcasting</t>
  </si>
  <si>
    <t>month</t>
  </si>
  <si>
    <t>Actual Demand</t>
  </si>
  <si>
    <t>forcasting</t>
  </si>
  <si>
    <t xml:space="preserve">week </t>
  </si>
  <si>
    <t>sales</t>
  </si>
  <si>
    <t>forecast sales for week 6?</t>
  </si>
  <si>
    <t>the naïve method</t>
  </si>
  <si>
    <t xml:space="preserve">a simple average </t>
  </si>
  <si>
    <t xml:space="preserve">a three period moving average </t>
  </si>
  <si>
    <t>3- period MAD</t>
  </si>
  <si>
    <t>5- period MAD</t>
  </si>
  <si>
    <t>actual vaue</t>
  </si>
  <si>
    <t>3PM averagefo rcasting value</t>
  </si>
  <si>
    <t>5PM averagefo rcasting value</t>
  </si>
  <si>
    <t>naïve</t>
  </si>
  <si>
    <t>errors naive- MAD</t>
  </si>
  <si>
    <t>ABS</t>
  </si>
  <si>
    <t>naive^2-MSE</t>
  </si>
  <si>
    <t>errors</t>
  </si>
  <si>
    <t>ABS erros</t>
  </si>
  <si>
    <t>errors^2</t>
  </si>
  <si>
    <t>Errors</t>
  </si>
  <si>
    <t xml:space="preserve">ABS erros </t>
  </si>
  <si>
    <t>erros^2</t>
  </si>
  <si>
    <t>Jan.</t>
  </si>
  <si>
    <t>feb.</t>
  </si>
  <si>
    <t>mar.</t>
  </si>
  <si>
    <t>apr.</t>
  </si>
  <si>
    <t>may.</t>
  </si>
  <si>
    <t>jun.</t>
  </si>
  <si>
    <t>july</t>
  </si>
  <si>
    <t>total annual demand  4100</t>
  </si>
  <si>
    <t xml:space="preserve">season </t>
  </si>
  <si>
    <t xml:space="preserve">year1 </t>
  </si>
  <si>
    <t>year2</t>
  </si>
  <si>
    <t xml:space="preserve">fall </t>
  </si>
  <si>
    <t xml:space="preserve">winter </t>
  </si>
  <si>
    <t xml:space="preserve">spring </t>
  </si>
  <si>
    <t>summer</t>
  </si>
  <si>
    <t xml:space="preserve">average demand season </t>
  </si>
  <si>
    <t xml:space="preserve">forcast annual demand </t>
  </si>
  <si>
    <t>step 1</t>
  </si>
  <si>
    <t xml:space="preserve">calculate seasonal relatives </t>
  </si>
  <si>
    <t xml:space="preserve">forcaste average demand season </t>
  </si>
  <si>
    <t xml:space="preserve">seaon </t>
  </si>
  <si>
    <t>year 1</t>
  </si>
  <si>
    <t>year 2</t>
  </si>
  <si>
    <t>average</t>
  </si>
  <si>
    <t>winter</t>
  </si>
  <si>
    <t>step 2</t>
  </si>
  <si>
    <t>calculate forcasts</t>
  </si>
  <si>
    <t>a=0.2</t>
  </si>
  <si>
    <t xml:space="preserve">Month </t>
  </si>
  <si>
    <t>Sales</t>
  </si>
  <si>
    <t>Naive</t>
  </si>
  <si>
    <t xml:space="preserve">2 period moving average </t>
  </si>
  <si>
    <t>Exponential smoothing</t>
  </si>
  <si>
    <t>Feb</t>
  </si>
  <si>
    <t>Mar</t>
  </si>
  <si>
    <t>Apr</t>
  </si>
  <si>
    <t>May</t>
  </si>
  <si>
    <t>Jun</t>
  </si>
  <si>
    <t>forcast = Ft-1+a*（At-1-Ft-1)</t>
  </si>
  <si>
    <t xml:space="preserve">errors </t>
  </si>
  <si>
    <t>MAD</t>
  </si>
  <si>
    <t>MSE</t>
  </si>
  <si>
    <t>week</t>
  </si>
  <si>
    <t>demand</t>
  </si>
  <si>
    <t>a=</t>
  </si>
  <si>
    <t>Training (X)</t>
  </si>
  <si>
    <t>Sales(Y)</t>
  </si>
  <si>
    <t>XY</t>
  </si>
  <si>
    <t>X^2</t>
  </si>
  <si>
    <t>Y^2</t>
  </si>
  <si>
    <t>N</t>
  </si>
  <si>
    <t>Total</t>
  </si>
  <si>
    <t>a)</t>
  </si>
  <si>
    <t>correlation coefficient</t>
  </si>
  <si>
    <t>calculate values of "a" and "b"</t>
  </si>
  <si>
    <t>b=</t>
  </si>
  <si>
    <t>R-squre</t>
  </si>
  <si>
    <t>Y=</t>
  </si>
  <si>
    <t>b)</t>
  </si>
  <si>
    <t>problem 9</t>
  </si>
  <si>
    <t xml:space="preserve"> strong positive</t>
  </si>
  <si>
    <t>problem 10</t>
  </si>
  <si>
    <t xml:space="preserve">year </t>
  </si>
  <si>
    <t xml:space="preserve">enrollment </t>
  </si>
  <si>
    <t>x</t>
  </si>
  <si>
    <t>y</t>
  </si>
  <si>
    <t>N=</t>
  </si>
  <si>
    <t>xy</t>
  </si>
  <si>
    <t>x^2</t>
  </si>
  <si>
    <t>total</t>
  </si>
  <si>
    <t>forecast for 6 year</t>
  </si>
  <si>
    <t>forecast for 7 year</t>
  </si>
  <si>
    <t>problem 11</t>
  </si>
  <si>
    <t>CB Sales</t>
  </si>
  <si>
    <t>simple average</t>
  </si>
  <si>
    <t xml:space="preserve">3 period moving average </t>
  </si>
  <si>
    <t>exponential smoothing</t>
  </si>
  <si>
    <t>problem 13</t>
  </si>
  <si>
    <t xml:space="preserve">period </t>
  </si>
  <si>
    <t>actual</t>
  </si>
  <si>
    <t>method A</t>
  </si>
  <si>
    <t>methodB</t>
  </si>
  <si>
    <t>methodC</t>
  </si>
  <si>
    <t xml:space="preserve">method A </t>
  </si>
  <si>
    <t>method B</t>
  </si>
  <si>
    <t>method C</t>
  </si>
  <si>
    <t>ERRORS</t>
  </si>
  <si>
    <t>^2</t>
  </si>
  <si>
    <t>problem 15</t>
  </si>
  <si>
    <t>X</t>
  </si>
  <si>
    <t>Y</t>
  </si>
  <si>
    <t>n</t>
  </si>
  <si>
    <t>Y25=</t>
  </si>
  <si>
    <t>problem 7</t>
  </si>
  <si>
    <t xml:space="preserve">practice problem </t>
  </si>
  <si>
    <t xml:space="preserve">break even analysis </t>
  </si>
  <si>
    <t>current operation</t>
  </si>
  <si>
    <t>FC=</t>
  </si>
  <si>
    <t>R=</t>
  </si>
  <si>
    <t>r=</t>
  </si>
  <si>
    <t>brick oven</t>
  </si>
  <si>
    <t>Q=</t>
  </si>
  <si>
    <t>total cost=</t>
  </si>
  <si>
    <t>F+rQ</t>
  </si>
  <si>
    <t>Total revenue=</t>
  </si>
  <si>
    <t>rQ</t>
  </si>
  <si>
    <t>total profit=</t>
  </si>
  <si>
    <t>rQ-（F+rQ)</t>
  </si>
  <si>
    <t>break even quantity</t>
  </si>
  <si>
    <t>same equation</t>
  </si>
  <si>
    <t xml:space="preserve">Micro computer problem </t>
  </si>
  <si>
    <t xml:space="preserve">data </t>
  </si>
  <si>
    <t xml:space="preserve">profit/computer </t>
  </si>
  <si>
    <t>assembly time/computer</t>
  </si>
  <si>
    <t>inspecyion time /computer</t>
  </si>
  <si>
    <t>storage space/ computer</t>
  </si>
  <si>
    <t xml:space="preserve">resource availability </t>
  </si>
  <si>
    <t xml:space="preserve">assembly time </t>
  </si>
  <si>
    <t>inspecyion time</t>
  </si>
  <si>
    <t xml:space="preserve">storage space </t>
  </si>
  <si>
    <t>type1</t>
  </si>
  <si>
    <t>type2</t>
  </si>
  <si>
    <t>4 hours</t>
  </si>
  <si>
    <t xml:space="preserve">10 hours </t>
  </si>
  <si>
    <t xml:space="preserve">2 hours </t>
  </si>
  <si>
    <t xml:space="preserve">1 hours </t>
  </si>
  <si>
    <t xml:space="preserve">3 cubic feet </t>
  </si>
  <si>
    <t>3 cubic feet</t>
  </si>
  <si>
    <t>100 hours</t>
  </si>
  <si>
    <t xml:space="preserve">22 hours </t>
  </si>
  <si>
    <t xml:space="preserve">39 cubic feet </t>
  </si>
  <si>
    <t>formulation</t>
  </si>
  <si>
    <t xml:space="preserve">step 1 define decision variables </t>
  </si>
  <si>
    <t xml:space="preserve">number of tpe 1 computers to make </t>
  </si>
  <si>
    <t xml:space="preserve">number of tpe 2 computers to make </t>
  </si>
  <si>
    <t>step2: define objective function</t>
  </si>
  <si>
    <t xml:space="preserve">maximize </t>
  </si>
  <si>
    <t>(profit)</t>
  </si>
  <si>
    <t xml:space="preserve">step3: write the constraints </t>
  </si>
  <si>
    <t>assembly:</t>
  </si>
  <si>
    <t>&lt;=</t>
  </si>
  <si>
    <t>inspection:</t>
  </si>
  <si>
    <t>storage space</t>
  </si>
  <si>
    <t xml:space="preserve">non-negativity </t>
  </si>
  <si>
    <t>&gt;=</t>
  </si>
  <si>
    <t xml:space="preserve">profit </t>
  </si>
  <si>
    <t>pepperoni/pizza</t>
  </si>
  <si>
    <t>cheese/pizza</t>
  </si>
  <si>
    <t>pepperoni pizza</t>
  </si>
  <si>
    <t>combo pizza</t>
  </si>
  <si>
    <t>x2</t>
  </si>
  <si>
    <t>60X1+50X2</t>
  </si>
  <si>
    <t xml:space="preserve">X1 </t>
  </si>
  <si>
    <t>X2</t>
  </si>
  <si>
    <t>4X1+10X2</t>
  </si>
  <si>
    <t>2X1+1X2</t>
  </si>
  <si>
    <t>3X1+3X2</t>
  </si>
  <si>
    <t>X1,X2</t>
  </si>
  <si>
    <t xml:space="preserve">number of tpe 2  combo pizzas to make </t>
  </si>
  <si>
    <t xml:space="preserve">number of tpe pepperono pizza to make </t>
  </si>
  <si>
    <t>8 ounces</t>
  </si>
  <si>
    <t>9 ounces</t>
  </si>
  <si>
    <t>pepperoni</t>
  </si>
  <si>
    <t>cheese</t>
  </si>
  <si>
    <t>on X1 axis, X2=0</t>
  </si>
  <si>
    <t>on X2 axis, X1=0</t>
  </si>
  <si>
    <t>4X1+0=100</t>
  </si>
  <si>
    <t>X1=</t>
  </si>
  <si>
    <t>X1</t>
  </si>
  <si>
    <t>0+10X2=100</t>
  </si>
  <si>
    <t>2X1+0</t>
  </si>
  <si>
    <t>x1</t>
  </si>
  <si>
    <t>0+1X2</t>
  </si>
  <si>
    <t>3X1+0</t>
  </si>
  <si>
    <t>0+3X2</t>
  </si>
  <si>
    <t>step4: plot the constraints and determine the feasible space</t>
  </si>
  <si>
    <t xml:space="preserve">Step4: feasible space </t>
  </si>
  <si>
    <t>on axis 1, X2=0</t>
  </si>
  <si>
    <t>on axis2, X1=0</t>
  </si>
  <si>
    <t>0+4X2=1600</t>
  </si>
  <si>
    <t xml:space="preserve">cheese constraints </t>
  </si>
  <si>
    <t xml:space="preserve">Pepperon constraints </t>
  </si>
  <si>
    <t xml:space="preserve">pounds </t>
  </si>
  <si>
    <t>1 pound=</t>
  </si>
  <si>
    <t>ounces</t>
  </si>
  <si>
    <t>1.5X1+1.35X2</t>
  </si>
  <si>
    <t>maximize (profit)</t>
  </si>
  <si>
    <t>8X1+4X2</t>
  </si>
  <si>
    <t>9X1+12X2</t>
  </si>
  <si>
    <t>4 ounces</t>
  </si>
  <si>
    <t>12 ounces</t>
  </si>
  <si>
    <t>X2=</t>
  </si>
  <si>
    <t>8X1+4X2 &lt;=</t>
  </si>
  <si>
    <t>9X1+12X2&lt;=</t>
  </si>
  <si>
    <t>8X1+0&lt;=1600</t>
  </si>
  <si>
    <t>9X1+0&lt;=3600</t>
  </si>
  <si>
    <t>0+12X2&lt;=</t>
  </si>
  <si>
    <t xml:space="preserve">corn point </t>
  </si>
  <si>
    <t xml:space="preserve">objective function </t>
  </si>
  <si>
    <t xml:space="preserve">(0,100) </t>
  </si>
  <si>
    <t>X2=100</t>
  </si>
  <si>
    <t>pepperoni :</t>
  </si>
  <si>
    <t>8X1+4*100=</t>
  </si>
  <si>
    <t>(150, 100)</t>
  </si>
  <si>
    <t>solve for Pepperoni &amp; cheese constraints</t>
  </si>
  <si>
    <t>9X1+12X2=</t>
  </si>
  <si>
    <t>(8X1+4X2)*3=</t>
  </si>
  <si>
    <t>15X1= 1200</t>
  </si>
  <si>
    <t>x1=80</t>
  </si>
  <si>
    <t>8X1+4X2=1600</t>
  </si>
  <si>
    <t>8*80+4X2=1600</t>
  </si>
  <si>
    <t>X2=240</t>
  </si>
  <si>
    <t>(80, 240)</t>
  </si>
  <si>
    <t xml:space="preserve">( The best optimization decision) </t>
  </si>
  <si>
    <t>(0,25)</t>
  </si>
  <si>
    <t>(0,11)</t>
  </si>
  <si>
    <t>(0,13)</t>
  </si>
  <si>
    <t>(0,10)</t>
  </si>
  <si>
    <t>(0,22)</t>
  </si>
  <si>
    <t>(0,0)</t>
  </si>
  <si>
    <t xml:space="preserve">solve for assembly &amp; storage constraints </t>
  </si>
  <si>
    <t>a：4X1+10X2</t>
  </si>
  <si>
    <t>b:3X1+3X2</t>
  </si>
  <si>
    <t>b: 3X1+3X2</t>
  </si>
  <si>
    <t>a*3</t>
  </si>
  <si>
    <t>b*4</t>
  </si>
  <si>
    <t>B:12X1+12X2</t>
  </si>
  <si>
    <t>a: 12X1+30X2</t>
  </si>
  <si>
    <t>X2=8</t>
  </si>
  <si>
    <t>4X1+10*8=100</t>
  </si>
  <si>
    <t>X1=5</t>
  </si>
  <si>
    <t xml:space="preserve">solve for inspection  &amp; storage constraints </t>
  </si>
  <si>
    <t>a:2X1+1X2</t>
  </si>
  <si>
    <t>a: 6X1+3X2=</t>
  </si>
  <si>
    <t>b:3X1+3X2=</t>
  </si>
  <si>
    <t>X1=9</t>
  </si>
  <si>
    <t>X2=4</t>
  </si>
  <si>
    <t>(5,8)</t>
  </si>
  <si>
    <t>(9,4)</t>
  </si>
  <si>
    <t>problem1</t>
  </si>
  <si>
    <t xml:space="preserve">same size </t>
  </si>
  <si>
    <t>n=</t>
  </si>
  <si>
    <t>sample average</t>
  </si>
  <si>
    <t xml:space="preserve">sample range </t>
  </si>
  <si>
    <t xml:space="preserve">samples </t>
  </si>
  <si>
    <t>standard deviation</t>
  </si>
  <si>
    <t>xi</t>
  </si>
  <si>
    <t>x-bar</t>
  </si>
  <si>
    <t>xi-xbar</t>
  </si>
  <si>
    <t>square (Xi - X-bar)</t>
  </si>
  <si>
    <t>total values</t>
  </si>
  <si>
    <t xml:space="preserve">sigma </t>
  </si>
  <si>
    <t>sgima/sqrt(n)</t>
  </si>
  <si>
    <t>sigma-x</t>
  </si>
  <si>
    <t>UCL</t>
  </si>
  <si>
    <t>LCL</t>
  </si>
  <si>
    <t>center line</t>
  </si>
  <si>
    <t>problem 2</t>
  </si>
  <si>
    <t>observation</t>
  </si>
  <si>
    <t>mean</t>
  </si>
  <si>
    <t>CL</t>
  </si>
  <si>
    <t>sigma=</t>
  </si>
  <si>
    <t>problem 6</t>
  </si>
  <si>
    <t xml:space="preserve">sample </t>
  </si>
  <si>
    <t>R</t>
  </si>
  <si>
    <t>X-</t>
  </si>
  <si>
    <t>M=</t>
  </si>
  <si>
    <t>A2=</t>
  </si>
  <si>
    <t>D3=</t>
  </si>
  <si>
    <t>D4=</t>
  </si>
  <si>
    <t>AVERAGE</t>
  </si>
  <si>
    <t xml:space="preserve">X-BAR </t>
  </si>
  <si>
    <t>RANGE</t>
  </si>
  <si>
    <t>X BAR CHART</t>
  </si>
  <si>
    <t>R chart</t>
  </si>
  <si>
    <t>sample</t>
  </si>
  <si>
    <t xml:space="preserve">number of defects </t>
  </si>
  <si>
    <t xml:space="preserve">number of observation in sample </t>
  </si>
  <si>
    <t>percentage</t>
  </si>
  <si>
    <t>z=</t>
  </si>
  <si>
    <t>p-bar</t>
  </si>
  <si>
    <t>CCL</t>
  </si>
  <si>
    <t>problem 8</t>
  </si>
  <si>
    <t>number of defective</t>
  </si>
  <si>
    <t xml:space="preserve">total </t>
  </si>
  <si>
    <t>Z=</t>
  </si>
  <si>
    <t>problem9</t>
  </si>
  <si>
    <t>total number of complaint</t>
  </si>
  <si>
    <t>z</t>
  </si>
  <si>
    <t xml:space="preserve">question 10 </t>
  </si>
  <si>
    <t>number of errors</t>
  </si>
  <si>
    <t xml:space="preserve">average </t>
  </si>
  <si>
    <t>question 12</t>
  </si>
  <si>
    <t>average sample</t>
  </si>
  <si>
    <t xml:space="preserve">total value </t>
  </si>
  <si>
    <t>tatal value</t>
  </si>
  <si>
    <t>sigma X</t>
  </si>
  <si>
    <t>D4</t>
  </si>
  <si>
    <t>D3</t>
  </si>
  <si>
    <t>A2</t>
  </si>
  <si>
    <t>QUESTION 13</t>
  </si>
  <si>
    <t xml:space="preserve">SAMPLE </t>
  </si>
  <si>
    <t xml:space="preserve">NUMBER OF LEAKY TUBE </t>
  </si>
  <si>
    <t>aver</t>
  </si>
  <si>
    <t>p=</t>
  </si>
  <si>
    <t>ucl</t>
  </si>
  <si>
    <t>lcl</t>
  </si>
  <si>
    <t>D</t>
  </si>
  <si>
    <t xml:space="preserve">annual demand </t>
  </si>
  <si>
    <t xml:space="preserve">cost per order </t>
  </si>
  <si>
    <t>H</t>
  </si>
  <si>
    <t xml:space="preserve">annual holding cost </t>
  </si>
  <si>
    <t xml:space="preserve">question 1: </t>
  </si>
  <si>
    <t>S</t>
  </si>
  <si>
    <t>d</t>
  </si>
  <si>
    <t xml:space="preserve">average inventroy </t>
  </si>
  <si>
    <t>D=</t>
  </si>
  <si>
    <t>number of order placed/ year</t>
  </si>
  <si>
    <t xml:space="preserve">hoding costs </t>
  </si>
  <si>
    <t xml:space="preserve">order costs </t>
  </si>
  <si>
    <t xml:space="preserve">total annual costs </t>
  </si>
  <si>
    <t>Cost per unit</t>
  </si>
  <si>
    <t>Quantity Ordered</t>
  </si>
  <si>
    <t>Annual Demand</t>
  </si>
  <si>
    <t xml:space="preserve">Ordering cost </t>
  </si>
  <si>
    <t>cost per oder</t>
  </si>
  <si>
    <t>question2</t>
  </si>
  <si>
    <t>Lead time</t>
  </si>
  <si>
    <t>Number of weeks per year</t>
  </si>
  <si>
    <t>demand rate</t>
  </si>
  <si>
    <t>weeks</t>
  </si>
  <si>
    <t xml:space="preserve">per week </t>
  </si>
  <si>
    <t>EOQ=</t>
  </si>
  <si>
    <t>Holding cost per unit</t>
  </si>
  <si>
    <t>SQRT((2*annual demand*order costs)/holding costs)=</t>
  </si>
  <si>
    <t>total annual costs =</t>
  </si>
  <si>
    <t>annual ordering cost+ annual inventory golding cost=</t>
  </si>
  <si>
    <t>c)</t>
  </si>
  <si>
    <t>reorder point=</t>
  </si>
  <si>
    <t>demand rate x lead time=</t>
  </si>
  <si>
    <t>question3</t>
  </si>
  <si>
    <t>filters/week</t>
  </si>
  <si>
    <t>$</t>
  </si>
  <si>
    <t>total costs=</t>
  </si>
  <si>
    <t>(EOQ/2)*holding costs+(demand quantity/EOQ)*ordering costs</t>
  </si>
  <si>
    <t>Example</t>
  </si>
  <si>
    <t>Annual demand</t>
  </si>
  <si>
    <t>usage rate or demand rate</t>
  </si>
  <si>
    <t>40/day</t>
  </si>
  <si>
    <t>LT or L</t>
  </si>
  <si>
    <t>Leadtime</t>
  </si>
  <si>
    <t xml:space="preserve"> 5 days</t>
  </si>
  <si>
    <t>ordering costs per order</t>
  </si>
  <si>
    <r>
      <t>Holding cost/unit/year (</t>
    </r>
    <r>
      <rPr>
        <i/>
        <sz val="11"/>
        <color theme="1"/>
        <rFont val="Calibri"/>
        <family val="2"/>
        <scheme val="minor"/>
      </rPr>
      <t>either given</t>
    </r>
    <r>
      <rPr>
        <sz val="12"/>
        <color theme="1"/>
        <rFont val="Calibri"/>
        <family val="2"/>
        <scheme val="minor"/>
      </rPr>
      <t xml:space="preserve"> or is set equal to </t>
    </r>
    <r>
      <rPr>
        <i/>
        <sz val="11"/>
        <color theme="1"/>
        <rFont val="Calibri"/>
        <family val="2"/>
        <scheme val="minor"/>
      </rPr>
      <t>Interest rate* Cost of item</t>
    </r>
    <r>
      <rPr>
        <sz val="12"/>
        <color theme="1"/>
        <rFont val="Calibri"/>
        <family val="2"/>
        <scheme val="minor"/>
      </rPr>
      <t>)</t>
    </r>
  </si>
  <si>
    <t>$6/unit/year</t>
  </si>
  <si>
    <t>Q</t>
  </si>
  <si>
    <t>Quantity to order in each cycle at Reorder point (How much to order?)</t>
  </si>
  <si>
    <t xml:space="preserve">ROP </t>
  </si>
  <si>
    <t>Reorder point (when to order?)</t>
  </si>
  <si>
    <t>T</t>
  </si>
  <si>
    <t>length of each cycle</t>
  </si>
  <si>
    <t>n*T</t>
  </si>
  <si>
    <t>=</t>
  </si>
  <si>
    <t>1 year</t>
  </si>
  <si>
    <t>1/n</t>
  </si>
  <si>
    <t>Q/D</t>
  </si>
  <si>
    <t>0.05 years</t>
  </si>
  <si>
    <t>number of cycles in an year</t>
  </si>
  <si>
    <t>n*Q</t>
  </si>
  <si>
    <t>D/Q</t>
  </si>
  <si>
    <t>number of working days in an year</t>
  </si>
  <si>
    <t>ROP</t>
  </si>
  <si>
    <t>d*LT</t>
  </si>
  <si>
    <t>EOQ (economic order quantity)</t>
  </si>
  <si>
    <t>SQRT (2DS/H)</t>
  </si>
  <si>
    <t>Total cost</t>
  </si>
  <si>
    <t>Annual ordering cost + Annual inventory holding cost</t>
  </si>
  <si>
    <t>n*S</t>
  </si>
  <si>
    <t>+</t>
  </si>
  <si>
    <t>H*average inventory in a cycle</t>
  </si>
  <si>
    <t>(D/Q)*S</t>
  </si>
  <si>
    <t>H* (Q/2)</t>
  </si>
  <si>
    <t>ROP (reorder point)</t>
  </si>
  <si>
    <t>expected demand during leadtime + safety stock (z*standard deviation of demand during leadtime)</t>
  </si>
  <si>
    <t>Service level is given and you read the value of z for that service level from z-tables in Apppedix B of Wileyplus</t>
  </si>
  <si>
    <t>If risk of stockout is given, Service level = 100 - risk of stockout or stockout risk</t>
  </si>
  <si>
    <t>Define,</t>
  </si>
  <si>
    <t xml:space="preserve">d </t>
  </si>
  <si>
    <t>demand rate or usage rate</t>
  </si>
  <si>
    <t>LT</t>
  </si>
  <si>
    <t>z-score</t>
  </si>
  <si>
    <t>(is obtained from the z-tables for a given service level)</t>
  </si>
  <si>
    <t>sigma-d</t>
  </si>
  <si>
    <t>standard deviation of demand</t>
  </si>
  <si>
    <t>sigma-LT</t>
  </si>
  <si>
    <t>standard deviation of Leadtime</t>
  </si>
  <si>
    <t>Case (1):</t>
  </si>
  <si>
    <t>demand rate is constant (sigma-d = 0), and Leadtime is constant (sigma-LT = 0)</t>
  </si>
  <si>
    <t xml:space="preserve"> </t>
  </si>
  <si>
    <t>d*LT + 0</t>
  </si>
  <si>
    <t>Safety stock = 0</t>
  </si>
  <si>
    <t>Case (2):</t>
  </si>
  <si>
    <t>demand rate is variable, and Leadtime is constant (sigma-LT = 0)</t>
  </si>
  <si>
    <t>d*LT  +  z*sigma-d* sqrt(LT)</t>
  </si>
  <si>
    <t>Safety stock = z*sigma-d* sqrt(LT)</t>
  </si>
  <si>
    <t>Case (3):</t>
  </si>
  <si>
    <t>demand rate is constant (sigma-d = 0), and Leadtime is variable</t>
  </si>
  <si>
    <t>d*LT + (z*d*sigma-LT)</t>
  </si>
  <si>
    <t>Safety stock =  z*d*sigma-LT</t>
  </si>
  <si>
    <t>Case (4):</t>
  </si>
  <si>
    <t>demand rate is variable, and Leadtime is variable</t>
  </si>
  <si>
    <t>d*LT +  z* SQRT( sigma-d*sigma-d*LT + d*d*sigma-LT*sigma-LT) )</t>
  </si>
  <si>
    <t>Safety stock = z* SQRT( sigma-d*sigma-d*LT + d*d*sigma-LT*sigma-LT) )</t>
  </si>
  <si>
    <t>practice question</t>
  </si>
  <si>
    <t>Number of operating days</t>
  </si>
  <si>
    <t>per day</t>
  </si>
  <si>
    <t>Standard deviation</t>
  </si>
  <si>
    <t>tubs/day</t>
  </si>
  <si>
    <t>Ordering cost</t>
  </si>
  <si>
    <t>Lead time to receive the order</t>
  </si>
  <si>
    <t>days</t>
  </si>
  <si>
    <t>Holidng cost per unit per year, H</t>
  </si>
  <si>
    <t>$/item/year</t>
  </si>
  <si>
    <t xml:space="preserve">Annual Demand </t>
  </si>
  <si>
    <t>Annual holding costs =</t>
  </si>
  <si>
    <t>(Q/2)*H</t>
  </si>
  <si>
    <t>Annual ordering costs =</t>
  </si>
  <si>
    <t>d)</t>
  </si>
  <si>
    <t>stockout risk</t>
  </si>
  <si>
    <t>Service level</t>
  </si>
  <si>
    <t>Z for 99% service level</t>
  </si>
  <si>
    <t>0.99 = 0.5 +0.49</t>
  </si>
  <si>
    <t xml:space="preserve">Z </t>
  </si>
  <si>
    <t>d is variable, LT is constant</t>
  </si>
  <si>
    <t>demand rate is variable, and Leadtime is constant</t>
  </si>
  <si>
    <t>e)</t>
  </si>
  <si>
    <t>Safety stock</t>
  </si>
  <si>
    <t>f)</t>
  </si>
  <si>
    <t>Annual cost of maintaining safety stock</t>
  </si>
  <si>
    <t>H*safety stock</t>
  </si>
  <si>
    <t>g)</t>
  </si>
  <si>
    <t>for 2% risk of stockout, service level is 98%, Z value is 2.05</t>
  </si>
  <si>
    <t>Z</t>
  </si>
  <si>
    <t>safety stock decreases</t>
  </si>
  <si>
    <t>question 5</t>
  </si>
  <si>
    <t xml:space="preserve">numbe of work days </t>
  </si>
  <si>
    <t>roll</t>
  </si>
  <si>
    <t>rolls</t>
  </si>
  <si>
    <t xml:space="preserve">holding cots </t>
  </si>
  <si>
    <t xml:space="preserve">lead time </t>
  </si>
  <si>
    <t xml:space="preserve">Annual demand </t>
  </si>
  <si>
    <t>service level=</t>
  </si>
  <si>
    <t>97%=</t>
  </si>
  <si>
    <t>ROP=</t>
  </si>
  <si>
    <t>safety stock=</t>
  </si>
  <si>
    <t>Z*standard deviation of demand during leadtime=</t>
  </si>
  <si>
    <t>99%=0.99</t>
  </si>
  <si>
    <t>Order costs S</t>
  </si>
  <si>
    <t>Order/year</t>
  </si>
  <si>
    <t>annual order costs=</t>
  </si>
  <si>
    <t>question 11</t>
  </si>
  <si>
    <t xml:space="preserve">activity </t>
  </si>
  <si>
    <t xml:space="preserve">optimistic time </t>
  </si>
  <si>
    <t>most likely time</t>
  </si>
  <si>
    <t xml:space="preserve">pessimistic time </t>
  </si>
  <si>
    <t xml:space="preserve">A </t>
  </si>
  <si>
    <t>B</t>
  </si>
  <si>
    <t>C</t>
  </si>
  <si>
    <t>E</t>
  </si>
  <si>
    <t>F</t>
  </si>
  <si>
    <t>G</t>
  </si>
  <si>
    <t xml:space="preserve">variance </t>
  </si>
  <si>
    <t>p&lt;=34</t>
  </si>
  <si>
    <t xml:space="preserve">question 6 </t>
  </si>
  <si>
    <t xml:space="preserve">actitity </t>
  </si>
  <si>
    <t>optimistic time</t>
  </si>
  <si>
    <t xml:space="preserve">most likely time </t>
  </si>
  <si>
    <t>immediate predecessor</t>
  </si>
  <si>
    <t>A</t>
  </si>
  <si>
    <t>none</t>
  </si>
  <si>
    <t>BC</t>
  </si>
  <si>
    <t xml:space="preserve">expected time </t>
  </si>
  <si>
    <t>p&lt;=33</t>
  </si>
  <si>
    <t xml:space="preserve">varaiance </t>
  </si>
  <si>
    <t>z&lt;=</t>
  </si>
  <si>
    <t>p&lt;=</t>
  </si>
  <si>
    <t>p&lt;=37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</si>
</sst>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 (Body)"/>
    </font>
    <font>
      <sz val="12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0" fontId="5" fillId="0" borderId="0" xfId="0" applyFont="1"/>
    <xf numFmtId="0" fontId="6" fillId="0" borderId="0" xfId="0" applyFont="1"/>
    <xf numFmtId="8" fontId="0" fillId="2" borderId="0" xfId="0" applyNumberForma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11" fillId="0" borderId="0" xfId="0" applyFont="1"/>
    <xf numFmtId="20" fontId="0" fillId="0" borderId="0" xfId="0" applyNumberFormat="1"/>
    <xf numFmtId="0" fontId="13" fillId="0" borderId="0" xfId="0" applyFont="1"/>
    <xf numFmtId="9" fontId="0" fillId="0" borderId="0" xfId="0" applyNumberFormat="1"/>
    <xf numFmtId="0" fontId="1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94</xdr:row>
      <xdr:rowOff>0</xdr:rowOff>
    </xdr:from>
    <xdr:to>
      <xdr:col>9</xdr:col>
      <xdr:colOff>342900</xdr:colOff>
      <xdr:row>109</xdr:row>
      <xdr:rowOff>68608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3210A-103F-F617-6FE8-D05DC53B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138900"/>
          <a:ext cx="7772400" cy="3116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20E0-5D8E-9C43-A13C-D853B92E72AA}">
  <dimension ref="A1:AQ226"/>
  <sheetViews>
    <sheetView topLeftCell="A168" zoomScale="165" workbookViewId="0">
      <selection activeCell="D64" sqref="D64"/>
    </sheetView>
  </sheetViews>
  <sheetFormatPr baseColWidth="10" defaultColWidth="11" defaultRowHeight="15.75" customHeight="1" x14ac:dyDescent="0.2"/>
  <cols>
    <col min="33" max="33" width="12.6640625" bestFit="1" customWidth="1"/>
    <col min="34" max="36" width="12.6640625" customWidth="1"/>
  </cols>
  <sheetData>
    <row r="1" spans="1:23" s="4" customFormat="1" ht="18" x14ac:dyDescent="0.2">
      <c r="A1" s="4" t="s">
        <v>0</v>
      </c>
      <c r="W1" s="5"/>
    </row>
    <row r="3" spans="1:23" ht="16" x14ac:dyDescent="0.2">
      <c r="B3" t="s">
        <v>1</v>
      </c>
      <c r="C3" t="s">
        <v>2</v>
      </c>
      <c r="F3" t="s">
        <v>3</v>
      </c>
    </row>
    <row r="4" spans="1:23" ht="16" x14ac:dyDescent="0.2">
      <c r="B4">
        <v>1</v>
      </c>
      <c r="C4">
        <v>206</v>
      </c>
    </row>
    <row r="5" spans="1:23" ht="16" x14ac:dyDescent="0.2">
      <c r="B5">
        <v>2</v>
      </c>
      <c r="C5">
        <v>372</v>
      </c>
    </row>
    <row r="6" spans="1:23" ht="16" x14ac:dyDescent="0.2">
      <c r="B6">
        <v>3</v>
      </c>
      <c r="C6">
        <v>315</v>
      </c>
    </row>
    <row r="7" spans="1:23" ht="16" x14ac:dyDescent="0.2">
      <c r="B7">
        <v>4</v>
      </c>
      <c r="C7">
        <v>321</v>
      </c>
      <c r="F7">
        <f>AVERAGE(C4:C6)</f>
        <v>297.66666666666669</v>
      </c>
    </row>
    <row r="8" spans="1:23" ht="16" x14ac:dyDescent="0.2">
      <c r="B8">
        <v>5</v>
      </c>
      <c r="F8">
        <f>AVERAGE(C5:C7)</f>
        <v>336</v>
      </c>
    </row>
    <row r="10" spans="1:23" s="1" customFormat="1" ht="16" x14ac:dyDescent="0.2"/>
    <row r="12" spans="1:23" ht="16" x14ac:dyDescent="0.2">
      <c r="C12" t="s">
        <v>4</v>
      </c>
      <c r="D12" t="s">
        <v>5</v>
      </c>
    </row>
    <row r="13" spans="1:23" ht="16" x14ac:dyDescent="0.2">
      <c r="C13">
        <v>1</v>
      </c>
      <c r="D13">
        <v>433</v>
      </c>
    </row>
    <row r="14" spans="1:23" ht="16" x14ac:dyDescent="0.2">
      <c r="C14">
        <v>2</v>
      </c>
      <c r="D14">
        <v>370</v>
      </c>
    </row>
    <row r="15" spans="1:23" ht="16" x14ac:dyDescent="0.2">
      <c r="C15">
        <v>3</v>
      </c>
      <c r="D15">
        <v>447</v>
      </c>
    </row>
    <row r="16" spans="1:23" ht="16" x14ac:dyDescent="0.2">
      <c r="C16">
        <v>4</v>
      </c>
      <c r="D16">
        <v>466</v>
      </c>
    </row>
    <row r="17" spans="2:43" ht="16" x14ac:dyDescent="0.2">
      <c r="C17">
        <v>5</v>
      </c>
      <c r="D17">
        <v>411</v>
      </c>
    </row>
    <row r="19" spans="2:43" ht="16" x14ac:dyDescent="0.2">
      <c r="B19" s="2" t="s">
        <v>6</v>
      </c>
    </row>
    <row r="21" spans="2:43" ht="16" x14ac:dyDescent="0.2">
      <c r="C21" t="s">
        <v>7</v>
      </c>
      <c r="F21">
        <f>D17</f>
        <v>411</v>
      </c>
    </row>
    <row r="24" spans="2:43" ht="16" x14ac:dyDescent="0.2">
      <c r="C24" t="s">
        <v>8</v>
      </c>
      <c r="F24">
        <f>AVERAGE(D13:D17)</f>
        <v>425.4</v>
      </c>
    </row>
    <row r="26" spans="2:43" ht="16" x14ac:dyDescent="0.2">
      <c r="C26" t="s">
        <v>9</v>
      </c>
      <c r="F26">
        <f>AVERAGE(D15:D17)</f>
        <v>441.33333333333331</v>
      </c>
    </row>
    <row r="28" spans="2:43" s="1" customFormat="1" ht="16" x14ac:dyDescent="0.2">
      <c r="AK28" s="1" t="s">
        <v>10</v>
      </c>
      <c r="AO28" s="1" t="s">
        <v>11</v>
      </c>
    </row>
    <row r="30" spans="2:43" ht="16" x14ac:dyDescent="0.2">
      <c r="C30" t="s">
        <v>1</v>
      </c>
      <c r="D30" t="s">
        <v>12</v>
      </c>
      <c r="V30" t="s">
        <v>13</v>
      </c>
      <c r="AC30" t="s">
        <v>14</v>
      </c>
      <c r="AF30" t="s">
        <v>15</v>
      </c>
      <c r="AG30" t="s">
        <v>16</v>
      </c>
      <c r="AH30" t="s">
        <v>17</v>
      </c>
      <c r="AI30" t="s">
        <v>18</v>
      </c>
      <c r="AK30" t="s">
        <v>19</v>
      </c>
      <c r="AL30" t="s">
        <v>20</v>
      </c>
      <c r="AM30" t="s">
        <v>21</v>
      </c>
      <c r="AO30" t="s">
        <v>22</v>
      </c>
      <c r="AP30" t="s">
        <v>23</v>
      </c>
      <c r="AQ30" t="s">
        <v>24</v>
      </c>
    </row>
    <row r="31" spans="2:43" ht="16" x14ac:dyDescent="0.2">
      <c r="C31" t="s">
        <v>25</v>
      </c>
      <c r="D31">
        <v>35</v>
      </c>
      <c r="AH31">
        <v>-1</v>
      </c>
      <c r="AN31">
        <v>-1</v>
      </c>
    </row>
    <row r="32" spans="2:43" ht="16" x14ac:dyDescent="0.2">
      <c r="C32" t="s">
        <v>26</v>
      </c>
      <c r="D32">
        <v>44</v>
      </c>
      <c r="AF32">
        <f>D31</f>
        <v>35</v>
      </c>
      <c r="AG32">
        <f>D32-AF32</f>
        <v>9</v>
      </c>
      <c r="AH32">
        <v>9</v>
      </c>
      <c r="AI32">
        <f>AG32^2</f>
        <v>81</v>
      </c>
    </row>
    <row r="33" spans="1:43" ht="16" x14ac:dyDescent="0.2">
      <c r="C33" t="s">
        <v>27</v>
      </c>
      <c r="D33">
        <v>39</v>
      </c>
      <c r="AF33">
        <f>D32</f>
        <v>44</v>
      </c>
      <c r="AG33">
        <f>D33-AF33</f>
        <v>-5</v>
      </c>
      <c r="AH33">
        <f>AG33*AH31</f>
        <v>5</v>
      </c>
      <c r="AI33">
        <f>AG33^2</f>
        <v>25</v>
      </c>
    </row>
    <row r="34" spans="1:43" ht="16" x14ac:dyDescent="0.2">
      <c r="C34" t="s">
        <v>28</v>
      </c>
      <c r="D34">
        <v>45</v>
      </c>
      <c r="V34">
        <f>AVERAGE(D31:D33)</f>
        <v>39.333333333333336</v>
      </c>
      <c r="AF34">
        <f>D33</f>
        <v>39</v>
      </c>
      <c r="AG34">
        <f>D34-AF34</f>
        <v>6</v>
      </c>
      <c r="AH34">
        <v>6</v>
      </c>
      <c r="AI34">
        <f>AG34^2</f>
        <v>36</v>
      </c>
      <c r="AK34">
        <f>V34-D34</f>
        <v>-5.6666666666666643</v>
      </c>
      <c r="AL34">
        <f>AK34*AN31</f>
        <v>5.6666666666666643</v>
      </c>
      <c r="AQ34">
        <f>AL34^2</f>
        <v>32.111111111111086</v>
      </c>
    </row>
    <row r="35" spans="1:43" ht="16" x14ac:dyDescent="0.2">
      <c r="C35" t="s">
        <v>29</v>
      </c>
      <c r="D35">
        <v>46</v>
      </c>
      <c r="V35">
        <f>AVERAGE(D32:D34)</f>
        <v>42.666666666666664</v>
      </c>
      <c r="AF35">
        <f>D34</f>
        <v>45</v>
      </c>
      <c r="AG35">
        <f>D35-AF35</f>
        <v>1</v>
      </c>
      <c r="AH35">
        <v>1</v>
      </c>
      <c r="AI35">
        <v>1</v>
      </c>
      <c r="AK35">
        <f>V35-D35</f>
        <v>-3.3333333333333357</v>
      </c>
      <c r="AL35">
        <f>AK35*AN31</f>
        <v>3.3333333333333357</v>
      </c>
      <c r="AQ35">
        <f>AL35^2</f>
        <v>11.111111111111127</v>
      </c>
    </row>
    <row r="36" spans="1:43" ht="16" x14ac:dyDescent="0.2">
      <c r="C36" t="s">
        <v>30</v>
      </c>
      <c r="D36">
        <v>44</v>
      </c>
      <c r="V36">
        <f>AVERAGE(D33:D35)</f>
        <v>43.333333333333336</v>
      </c>
      <c r="AC36">
        <f>AVERAGE(D31:D35)</f>
        <v>41.8</v>
      </c>
      <c r="AF36">
        <f>D35</f>
        <v>46</v>
      </c>
      <c r="AG36">
        <f>D36-AF36</f>
        <v>-2</v>
      </c>
      <c r="AH36">
        <f>AG36*AH31</f>
        <v>2</v>
      </c>
      <c r="AI36">
        <f>AG36^2</f>
        <v>4</v>
      </c>
      <c r="AK36">
        <f>V36-D36</f>
        <v>-0.6666666666666643</v>
      </c>
      <c r="AL36">
        <f>AK36*AN31</f>
        <v>0.6666666666666643</v>
      </c>
      <c r="AO36">
        <f>AC36-D36</f>
        <v>-2.2000000000000028</v>
      </c>
      <c r="AQ36">
        <f>AL36^2</f>
        <v>0.44444444444444131</v>
      </c>
    </row>
    <row r="37" spans="1:43" ht="16" x14ac:dyDescent="0.2">
      <c r="C37" t="s">
        <v>31</v>
      </c>
      <c r="V37">
        <f>AVERAGE(D34:D36)</f>
        <v>45</v>
      </c>
      <c r="AC37">
        <v>43.6</v>
      </c>
      <c r="AF37">
        <v>44</v>
      </c>
      <c r="AH37">
        <f>AVERAGE(AH32:AH36)</f>
        <v>4.5999999999999996</v>
      </c>
      <c r="AI37">
        <f>AVERAGE(AI32:AI36)</f>
        <v>29.4</v>
      </c>
      <c r="AL37">
        <f>AVERAGE(AL34:AL36)</f>
        <v>3.2222222222222214</v>
      </c>
      <c r="AO37">
        <f>AO36^2</f>
        <v>4.8400000000000123</v>
      </c>
      <c r="AQ37">
        <f>AVERAGE(AQ34:AQ36)</f>
        <v>14.555555555555552</v>
      </c>
    </row>
    <row r="40" spans="1:43" s="1" customFormat="1" ht="16" x14ac:dyDescent="0.2"/>
    <row r="41" spans="1:43" ht="15.75" customHeight="1" x14ac:dyDescent="0.2">
      <c r="A41" t="s">
        <v>118</v>
      </c>
    </row>
    <row r="42" spans="1:43" ht="16" x14ac:dyDescent="0.2">
      <c r="W42" t="s">
        <v>32</v>
      </c>
    </row>
    <row r="43" spans="1:43" ht="16" x14ac:dyDescent="0.2">
      <c r="D43" t="s">
        <v>33</v>
      </c>
      <c r="E43" t="s">
        <v>34</v>
      </c>
      <c r="F43" s="3" t="s">
        <v>35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43" ht="16" x14ac:dyDescent="0.2">
      <c r="D44" t="s">
        <v>36</v>
      </c>
      <c r="E44">
        <v>210</v>
      </c>
      <c r="F44">
        <v>220</v>
      </c>
    </row>
    <row r="45" spans="1:43" ht="16" x14ac:dyDescent="0.2">
      <c r="D45" t="s">
        <v>37</v>
      </c>
      <c r="E45">
        <v>1443</v>
      </c>
      <c r="F45">
        <v>1620</v>
      </c>
    </row>
    <row r="46" spans="1:43" ht="16" x14ac:dyDescent="0.2">
      <c r="D46" t="s">
        <v>38</v>
      </c>
      <c r="E46">
        <v>524</v>
      </c>
      <c r="F46">
        <v>566</v>
      </c>
    </row>
    <row r="47" spans="1:43" ht="16" x14ac:dyDescent="0.2">
      <c r="D47" t="s">
        <v>39</v>
      </c>
      <c r="E47">
        <v>693</v>
      </c>
      <c r="F47">
        <v>775</v>
      </c>
    </row>
    <row r="49" spans="3:30" ht="16" x14ac:dyDescent="0.2">
      <c r="C49" t="s">
        <v>40</v>
      </c>
      <c r="E49">
        <f>AVERAGE(E44:E47)</f>
        <v>717.5</v>
      </c>
      <c r="F49">
        <f>AVERAGE(F44:F47)</f>
        <v>795.25</v>
      </c>
      <c r="X49" t="s">
        <v>41</v>
      </c>
    </row>
    <row r="52" spans="3:30" ht="16" x14ac:dyDescent="0.2">
      <c r="C52" t="s">
        <v>42</v>
      </c>
      <c r="D52" t="s">
        <v>43</v>
      </c>
    </row>
    <row r="53" spans="3:30" ht="16" x14ac:dyDescent="0.2">
      <c r="D53">
        <f>4100/4</f>
        <v>1025</v>
      </c>
      <c r="X53" t="s">
        <v>44</v>
      </c>
      <c r="AD53">
        <f>4100/4</f>
        <v>1025</v>
      </c>
    </row>
    <row r="55" spans="3:30" ht="16" x14ac:dyDescent="0.2">
      <c r="C55" t="s">
        <v>45</v>
      </c>
      <c r="D55" t="s">
        <v>46</v>
      </c>
      <c r="E55" t="s">
        <v>47</v>
      </c>
      <c r="F55" t="s">
        <v>48</v>
      </c>
    </row>
    <row r="56" spans="3:30" ht="16" x14ac:dyDescent="0.2">
      <c r="C56" t="s">
        <v>36</v>
      </c>
      <c r="D56">
        <f>E44/E49</f>
        <v>0.29268292682926828</v>
      </c>
      <c r="E56">
        <f>F44/F49</f>
        <v>0.2766425652310594</v>
      </c>
      <c r="F56">
        <f>AVERAGE(D56:E56)</f>
        <v>0.28466274603016384</v>
      </c>
    </row>
    <row r="57" spans="3:30" ht="16" x14ac:dyDescent="0.2">
      <c r="C57" t="s">
        <v>49</v>
      </c>
      <c r="D57">
        <f>E45/E49</f>
        <v>2.0111498257839719</v>
      </c>
      <c r="E57">
        <f>F45/F49</f>
        <v>2.0370952530650737</v>
      </c>
      <c r="F57">
        <f>AVERAGE(D57:E57)</f>
        <v>2.024122539424523</v>
      </c>
    </row>
    <row r="58" spans="3:30" ht="16" x14ac:dyDescent="0.2">
      <c r="C58" t="s">
        <v>38</v>
      </c>
      <c r="D58">
        <f>E46/E49</f>
        <v>0.73031358885017417</v>
      </c>
      <c r="E58">
        <f>F46/F49</f>
        <v>0.7117258723671801</v>
      </c>
      <c r="F58">
        <f>AVERAGE(D58:E58)</f>
        <v>0.72101973060867719</v>
      </c>
    </row>
    <row r="59" spans="3:30" ht="16" x14ac:dyDescent="0.2">
      <c r="C59" t="s">
        <v>39</v>
      </c>
      <c r="D59">
        <f>E47/E49</f>
        <v>0.96585365853658534</v>
      </c>
      <c r="E59">
        <f>F47/F49</f>
        <v>0.97453630933668656</v>
      </c>
      <c r="F59">
        <f>AVERAGE(D59:E59)</f>
        <v>0.97019498393663595</v>
      </c>
    </row>
    <row r="62" spans="3:30" ht="16" x14ac:dyDescent="0.2">
      <c r="C62" t="s">
        <v>50</v>
      </c>
      <c r="D62" t="s">
        <v>51</v>
      </c>
    </row>
    <row r="63" spans="3:30" ht="16" x14ac:dyDescent="0.2">
      <c r="C63" t="s">
        <v>36</v>
      </c>
      <c r="D63">
        <f>F56*AD53</f>
        <v>291.77931468091793</v>
      </c>
    </row>
    <row r="64" spans="3:30" ht="16" x14ac:dyDescent="0.2">
      <c r="C64" t="s">
        <v>49</v>
      </c>
      <c r="D64">
        <f>AD53*F57</f>
        <v>2074.7256029101359</v>
      </c>
    </row>
    <row r="65" spans="2:33" ht="16" x14ac:dyDescent="0.2">
      <c r="C65" t="s">
        <v>38</v>
      </c>
      <c r="D65">
        <f>AD53*F58</f>
        <v>739.04522387389409</v>
      </c>
    </row>
    <row r="66" spans="2:33" ht="16" x14ac:dyDescent="0.2">
      <c r="C66" t="s">
        <v>39</v>
      </c>
      <c r="D66">
        <f>F59*AD53</f>
        <v>994.44985853505182</v>
      </c>
    </row>
    <row r="67" spans="2:33" s="1" customFormat="1" ht="15.75" customHeight="1" x14ac:dyDescent="0.2"/>
    <row r="68" spans="2:33" ht="15.75" customHeight="1" x14ac:dyDescent="0.2">
      <c r="F68" t="s">
        <v>52</v>
      </c>
      <c r="AD68" t="s">
        <v>63</v>
      </c>
    </row>
    <row r="69" spans="2:33" ht="15.75" customHeight="1" x14ac:dyDescent="0.2">
      <c r="P69">
        <v>-1</v>
      </c>
      <c r="Z69">
        <v>-1</v>
      </c>
      <c r="AC69" t="s">
        <v>52</v>
      </c>
      <c r="AF69">
        <v>-1</v>
      </c>
    </row>
    <row r="70" spans="2:33" ht="15.75" customHeight="1" x14ac:dyDescent="0.2">
      <c r="C70" t="s">
        <v>53</v>
      </c>
      <c r="D70" t="s">
        <v>54</v>
      </c>
      <c r="F70" t="s">
        <v>55</v>
      </c>
      <c r="O70" t="s">
        <v>64</v>
      </c>
      <c r="P70" t="s">
        <v>17</v>
      </c>
      <c r="S70" t="s">
        <v>21</v>
      </c>
      <c r="W70" t="s">
        <v>56</v>
      </c>
      <c r="Y70" t="s">
        <v>64</v>
      </c>
      <c r="Z70" t="s">
        <v>17</v>
      </c>
      <c r="AA70" t="s">
        <v>21</v>
      </c>
      <c r="AC70" t="s">
        <v>57</v>
      </c>
      <c r="AE70" t="s">
        <v>64</v>
      </c>
      <c r="AF70" t="s">
        <v>17</v>
      </c>
      <c r="AG70" t="s">
        <v>21</v>
      </c>
    </row>
    <row r="71" spans="2:33" ht="15.75" customHeight="1" x14ac:dyDescent="0.2">
      <c r="C71" t="s">
        <v>25</v>
      </c>
      <c r="D71">
        <v>38</v>
      </c>
    </row>
    <row r="72" spans="2:33" ht="15.75" customHeight="1" x14ac:dyDescent="0.2">
      <c r="C72" t="s">
        <v>58</v>
      </c>
      <c r="D72">
        <v>34</v>
      </c>
    </row>
    <row r="73" spans="2:33" ht="15.75" customHeight="1" x14ac:dyDescent="0.2">
      <c r="C73" t="s">
        <v>59</v>
      </c>
      <c r="D73">
        <v>40</v>
      </c>
      <c r="F73">
        <f>D72</f>
        <v>34</v>
      </c>
      <c r="O73">
        <f>D73-F73</f>
        <v>6</v>
      </c>
      <c r="P73">
        <v>6</v>
      </c>
      <c r="S73">
        <f>P73^2</f>
        <v>36</v>
      </c>
      <c r="W73">
        <f>AVERAGE(D71:D72)</f>
        <v>36</v>
      </c>
      <c r="Y73">
        <f>D73-W73</f>
        <v>4</v>
      </c>
      <c r="Z73">
        <v>4</v>
      </c>
      <c r="AA73">
        <f>Z73^2</f>
        <v>16</v>
      </c>
      <c r="AC73">
        <v>37.200000000000003</v>
      </c>
      <c r="AE73">
        <f>D73-AC73</f>
        <v>2.7999999999999972</v>
      </c>
      <c r="AF73">
        <f>AE73</f>
        <v>2.7999999999999972</v>
      </c>
      <c r="AG73">
        <f>AF73^2</f>
        <v>7.8399999999999839</v>
      </c>
    </row>
    <row r="74" spans="2:33" ht="15.75" customHeight="1" x14ac:dyDescent="0.2">
      <c r="C74" t="s">
        <v>60</v>
      </c>
      <c r="D74">
        <v>35</v>
      </c>
      <c r="F74">
        <f>D73</f>
        <v>40</v>
      </c>
      <c r="O74">
        <f>D74-F74</f>
        <v>-5</v>
      </c>
      <c r="P74">
        <f>O74*P69</f>
        <v>5</v>
      </c>
      <c r="S74">
        <f>P74^2</f>
        <v>25</v>
      </c>
      <c r="W74">
        <f>AVERAGE(D72:D73)</f>
        <v>37</v>
      </c>
      <c r="Y74">
        <f>D74-W74</f>
        <v>-2</v>
      </c>
      <c r="Z74">
        <v>2</v>
      </c>
      <c r="AA74">
        <f>Z74^2</f>
        <v>4</v>
      </c>
      <c r="AC74">
        <v>37.76</v>
      </c>
      <c r="AE74">
        <f>D74-AC74</f>
        <v>-2.759999999999998</v>
      </c>
      <c r="AF74">
        <f>AE74*AF69</f>
        <v>2.759999999999998</v>
      </c>
      <c r="AG74">
        <f>AF74^2</f>
        <v>7.6175999999999888</v>
      </c>
    </row>
    <row r="75" spans="2:33" ht="15.75" customHeight="1" x14ac:dyDescent="0.2">
      <c r="C75" t="s">
        <v>61</v>
      </c>
      <c r="D75">
        <v>44</v>
      </c>
      <c r="F75">
        <f>D74</f>
        <v>35</v>
      </c>
      <c r="O75">
        <f>D75-F75</f>
        <v>9</v>
      </c>
      <c r="P75">
        <v>9</v>
      </c>
      <c r="S75">
        <f>P75^2</f>
        <v>81</v>
      </c>
      <c r="W75">
        <f>AVERAGE(D73:D74)</f>
        <v>37.5</v>
      </c>
      <c r="Y75">
        <f>D75-W75</f>
        <v>6.5</v>
      </c>
      <c r="Z75">
        <v>6.5</v>
      </c>
      <c r="AA75">
        <f>Z75^2</f>
        <v>42.25</v>
      </c>
      <c r="AC75">
        <v>37.21</v>
      </c>
      <c r="AE75">
        <f>D75-AC75</f>
        <v>6.7899999999999991</v>
      </c>
      <c r="AF75">
        <f>AE75</f>
        <v>6.7899999999999991</v>
      </c>
      <c r="AG75">
        <f>AF75^2</f>
        <v>46.104099999999988</v>
      </c>
    </row>
    <row r="76" spans="2:33" ht="15.75" customHeight="1" x14ac:dyDescent="0.2">
      <c r="C76" t="s">
        <v>62</v>
      </c>
      <c r="D76">
        <v>45</v>
      </c>
      <c r="F76">
        <f>D75</f>
        <v>44</v>
      </c>
      <c r="O76">
        <f>D76-F76</f>
        <v>1</v>
      </c>
      <c r="P76">
        <v>1</v>
      </c>
      <c r="S76">
        <v>1</v>
      </c>
      <c r="W76">
        <f>AVERAGE(D74:D75)</f>
        <v>39.5</v>
      </c>
      <c r="Y76">
        <f>D76-W76</f>
        <v>5.5</v>
      </c>
      <c r="Z76">
        <v>5.5</v>
      </c>
      <c r="AA76">
        <f>Z76^2</f>
        <v>30.25</v>
      </c>
      <c r="AC76">
        <v>38.57</v>
      </c>
      <c r="AE76">
        <f>D76-AC76</f>
        <v>6.43</v>
      </c>
      <c r="AF76">
        <f>AE76</f>
        <v>6.43</v>
      </c>
      <c r="AG76">
        <f>AF76^2</f>
        <v>41.344899999999996</v>
      </c>
    </row>
    <row r="77" spans="2:33" ht="15.75" customHeight="1" x14ac:dyDescent="0.2">
      <c r="C77" t="s">
        <v>31</v>
      </c>
      <c r="W77">
        <f>AVERAGE(D75:D76)</f>
        <v>44.5</v>
      </c>
    </row>
    <row r="78" spans="2:33" ht="15.75" customHeight="1" x14ac:dyDescent="0.2">
      <c r="B78" t="s">
        <v>65</v>
      </c>
      <c r="P78">
        <f>AVERAGE(P73:P76)</f>
        <v>5.25</v>
      </c>
      <c r="Z78">
        <f>AVERAGE(Z73:Z76)</f>
        <v>4.5</v>
      </c>
      <c r="AF78">
        <f>AVERAGE(AF73:AF76)</f>
        <v>4.6949999999999985</v>
      </c>
    </row>
    <row r="79" spans="2:33" ht="15.75" customHeight="1" x14ac:dyDescent="0.2">
      <c r="B79" t="s">
        <v>66</v>
      </c>
      <c r="S79">
        <f>AVERAGE(S73:S76)</f>
        <v>35.75</v>
      </c>
      <c r="AA79">
        <f>AVERAGE(AA73:AA76)</f>
        <v>23.125</v>
      </c>
      <c r="AG79">
        <f>AVERAGE(AG73:AG76)</f>
        <v>25.726649999999989</v>
      </c>
    </row>
    <row r="80" spans="2:33" s="1" customFormat="1" ht="15.75" customHeight="1" x14ac:dyDescent="0.2"/>
    <row r="81" spans="4:25" ht="15.75" customHeight="1" x14ac:dyDescent="0.2">
      <c r="E81" t="s">
        <v>69</v>
      </c>
      <c r="F81">
        <v>0.1</v>
      </c>
    </row>
    <row r="82" spans="4:25" ht="15.75" customHeight="1" x14ac:dyDescent="0.2">
      <c r="T82">
        <v>-1</v>
      </c>
      <c r="V82">
        <v>0.7</v>
      </c>
      <c r="Y82">
        <v>-1</v>
      </c>
    </row>
    <row r="83" spans="4:25" ht="15.75" customHeight="1" x14ac:dyDescent="0.2">
      <c r="D83" t="s">
        <v>67</v>
      </c>
      <c r="E83" t="s">
        <v>68</v>
      </c>
      <c r="O83" t="s">
        <v>57</v>
      </c>
      <c r="S83" t="s">
        <v>19</v>
      </c>
      <c r="T83" t="s">
        <v>17</v>
      </c>
      <c r="V83" t="s">
        <v>57</v>
      </c>
      <c r="X83" t="s">
        <v>19</v>
      </c>
      <c r="Y83" t="s">
        <v>17</v>
      </c>
    </row>
    <row r="84" spans="4:25" ht="15.75" customHeight="1" x14ac:dyDescent="0.2">
      <c r="D84">
        <v>1</v>
      </c>
      <c r="E84">
        <v>345</v>
      </c>
    </row>
    <row r="85" spans="4:25" ht="15.75" customHeight="1" x14ac:dyDescent="0.2">
      <c r="D85">
        <v>2</v>
      </c>
      <c r="E85">
        <v>353</v>
      </c>
      <c r="O85">
        <v>345</v>
      </c>
      <c r="T85">
        <f>E85-O85</f>
        <v>8</v>
      </c>
      <c r="V85">
        <v>345</v>
      </c>
      <c r="Y85">
        <f>E85-V85</f>
        <v>8</v>
      </c>
    </row>
    <row r="87" spans="4:25" ht="15.75" customHeight="1" x14ac:dyDescent="0.2">
      <c r="D87">
        <v>3</v>
      </c>
      <c r="E87">
        <v>324</v>
      </c>
      <c r="O87">
        <f>E84+F81*(E85-E84)</f>
        <v>345.8</v>
      </c>
      <c r="S87">
        <f>E87-O87</f>
        <v>-21.800000000000011</v>
      </c>
      <c r="T87">
        <f>S87*T82</f>
        <v>21.800000000000011</v>
      </c>
      <c r="V87">
        <f>E84+V82*(E85-E84)</f>
        <v>350.6</v>
      </c>
      <c r="X87">
        <f>E87-V87</f>
        <v>-26.600000000000023</v>
      </c>
      <c r="Y87">
        <f>X87*Y82</f>
        <v>26.600000000000023</v>
      </c>
    </row>
    <row r="89" spans="4:25" ht="15.75" customHeight="1" x14ac:dyDescent="0.2">
      <c r="D89">
        <v>4</v>
      </c>
      <c r="E89">
        <v>374</v>
      </c>
      <c r="O89">
        <f>O87+F81*(E87-O87)</f>
        <v>343.62</v>
      </c>
      <c r="S89">
        <f>E89-O89</f>
        <v>30.379999999999995</v>
      </c>
      <c r="T89">
        <f>S89</f>
        <v>30.379999999999995</v>
      </c>
      <c r="V89">
        <f>V87+V82*(E87-V87)</f>
        <v>331.98</v>
      </c>
      <c r="X89">
        <f>E89-V89</f>
        <v>42.019999999999982</v>
      </c>
      <c r="Y89">
        <f>X89</f>
        <v>42.019999999999982</v>
      </c>
    </row>
    <row r="91" spans="4:25" ht="15.75" customHeight="1" x14ac:dyDescent="0.2">
      <c r="D91">
        <v>5</v>
      </c>
      <c r="E91">
        <v>371</v>
      </c>
      <c r="O91">
        <f>O89+F81*(E89-O89)</f>
        <v>346.65800000000002</v>
      </c>
      <c r="S91">
        <f>E91-O91</f>
        <v>24.341999999999985</v>
      </c>
      <c r="T91">
        <f>S91</f>
        <v>24.341999999999985</v>
      </c>
      <c r="V91">
        <f>V89+V82*(E89-V89)</f>
        <v>361.39400000000001</v>
      </c>
      <c r="X91">
        <f>E91-V91</f>
        <v>9.6059999999999945</v>
      </c>
      <c r="Y91">
        <f>X91</f>
        <v>9.6059999999999945</v>
      </c>
    </row>
    <row r="93" spans="4:25" ht="15.75" customHeight="1" x14ac:dyDescent="0.2">
      <c r="D93">
        <v>6</v>
      </c>
      <c r="E93">
        <v>341</v>
      </c>
      <c r="O93">
        <f>O91+F81*(E91-O91)</f>
        <v>349.09219999999999</v>
      </c>
      <c r="S93">
        <f>E93-O93</f>
        <v>-8.0921999999999912</v>
      </c>
      <c r="T93">
        <f>S93*T82</f>
        <v>8.0921999999999912</v>
      </c>
      <c r="V93">
        <f>V91+V82*(E91-V91)</f>
        <v>368.1182</v>
      </c>
      <c r="X93">
        <f>E93-V93</f>
        <v>-27.118200000000002</v>
      </c>
      <c r="Y93">
        <f>X93*Y82</f>
        <v>27.118200000000002</v>
      </c>
    </row>
    <row r="95" spans="4:25" ht="15.75" customHeight="1" x14ac:dyDescent="0.2">
      <c r="D95" t="s">
        <v>65</v>
      </c>
      <c r="T95">
        <f>AVERAGE(T85:T93)</f>
        <v>18.522839999999995</v>
      </c>
      <c r="Y95">
        <f>AVERAGE(Y85:Y93)</f>
        <v>22.668839999999999</v>
      </c>
    </row>
    <row r="98" spans="4:26" ht="15.75" customHeight="1" x14ac:dyDescent="0.2">
      <c r="O98" t="s">
        <v>69</v>
      </c>
      <c r="P98">
        <v>0.2</v>
      </c>
      <c r="T98">
        <v>-1</v>
      </c>
      <c r="W98">
        <v>0.6</v>
      </c>
      <c r="Z98">
        <v>-1</v>
      </c>
    </row>
    <row r="99" spans="4:26" ht="15.75" customHeight="1" x14ac:dyDescent="0.2">
      <c r="D99" t="s">
        <v>67</v>
      </c>
      <c r="E99" t="s">
        <v>68</v>
      </c>
      <c r="O99" t="s">
        <v>57</v>
      </c>
      <c r="S99" t="s">
        <v>19</v>
      </c>
      <c r="T99" t="s">
        <v>17</v>
      </c>
      <c r="W99" t="s">
        <v>57</v>
      </c>
      <c r="Y99" t="s">
        <v>19</v>
      </c>
      <c r="Z99" t="s">
        <v>17</v>
      </c>
    </row>
    <row r="100" spans="4:26" ht="15.75" customHeight="1" x14ac:dyDescent="0.2">
      <c r="D100">
        <v>1</v>
      </c>
      <c r="E100">
        <v>430</v>
      </c>
    </row>
    <row r="102" spans="4:26" ht="15.75" customHeight="1" x14ac:dyDescent="0.2">
      <c r="D102">
        <v>2</v>
      </c>
      <c r="E102">
        <v>298</v>
      </c>
      <c r="O102">
        <v>430</v>
      </c>
      <c r="S102">
        <f>E102-O102</f>
        <v>-132</v>
      </c>
      <c r="T102">
        <f>S102*T98</f>
        <v>132</v>
      </c>
      <c r="W102">
        <v>430</v>
      </c>
      <c r="Y102">
        <f>E102-W102</f>
        <v>-132</v>
      </c>
      <c r="Z102">
        <f>Y102*Z98</f>
        <v>132</v>
      </c>
    </row>
    <row r="104" spans="4:26" ht="15.75" customHeight="1" x14ac:dyDescent="0.2">
      <c r="D104">
        <v>3</v>
      </c>
      <c r="E104">
        <v>369</v>
      </c>
      <c r="O104">
        <f>O102+P98*(E102-O102)</f>
        <v>403.6</v>
      </c>
      <c r="S104">
        <f>E104-O104</f>
        <v>-34.600000000000023</v>
      </c>
      <c r="T104">
        <f>S104*T98</f>
        <v>34.600000000000023</v>
      </c>
      <c r="W104">
        <f>W102+W98*(E102-W102)</f>
        <v>350.8</v>
      </c>
      <c r="Y104">
        <f>E104-W104</f>
        <v>18.199999999999989</v>
      </c>
      <c r="Z104">
        <f>Y104</f>
        <v>18.199999999999989</v>
      </c>
    </row>
    <row r="106" spans="4:26" ht="15.75" customHeight="1" x14ac:dyDescent="0.2">
      <c r="D106">
        <v>4</v>
      </c>
      <c r="E106">
        <v>450</v>
      </c>
      <c r="O106">
        <f>O104+P98*(E104-O104)</f>
        <v>396.68</v>
      </c>
      <c r="S106">
        <f>E106-O106</f>
        <v>53.319999999999993</v>
      </c>
      <c r="T106">
        <f>S106</f>
        <v>53.319999999999993</v>
      </c>
      <c r="W106">
        <f>W104+W98*(E104-W104)</f>
        <v>361.72</v>
      </c>
      <c r="Y106">
        <f>E106-W106</f>
        <v>88.279999999999973</v>
      </c>
      <c r="Z106">
        <f>Y106</f>
        <v>88.279999999999973</v>
      </c>
    </row>
    <row r="108" spans="4:26" ht="15.75" customHeight="1" x14ac:dyDescent="0.2">
      <c r="D108">
        <v>5</v>
      </c>
      <c r="E108">
        <v>516</v>
      </c>
      <c r="O108">
        <f>O106+P98*(E106-O106)</f>
        <v>407.34399999999999</v>
      </c>
      <c r="S108">
        <f>E108-O108</f>
        <v>108.65600000000001</v>
      </c>
      <c r="T108">
        <f>S108</f>
        <v>108.65600000000001</v>
      </c>
      <c r="W108">
        <f>W106+W98*(E106-W106)</f>
        <v>414.68799999999999</v>
      </c>
      <c r="Y108">
        <f>E108-W108</f>
        <v>101.31200000000001</v>
      </c>
      <c r="Z108">
        <f>Y108</f>
        <v>101.31200000000001</v>
      </c>
    </row>
    <row r="110" spans="4:26" ht="15.75" customHeight="1" x14ac:dyDescent="0.2">
      <c r="D110">
        <v>6</v>
      </c>
      <c r="E110">
        <v>381</v>
      </c>
      <c r="O110">
        <f>O108+P98*(E108-O108)</f>
        <v>429.0752</v>
      </c>
      <c r="S110">
        <f>E110-O110</f>
        <v>-48.075199999999995</v>
      </c>
      <c r="T110">
        <f>S110*T98</f>
        <v>48.075199999999995</v>
      </c>
      <c r="W110">
        <f>W108+W98*(E108-W108)</f>
        <v>475.47519999999997</v>
      </c>
      <c r="Y110">
        <f>E110-W110</f>
        <v>-94.475199999999973</v>
      </c>
      <c r="Z110">
        <f>Y110*Z98</f>
        <v>94.475199999999973</v>
      </c>
    </row>
    <row r="112" spans="4:26" ht="15.75" customHeight="1" x14ac:dyDescent="0.2">
      <c r="D112" t="s">
        <v>65</v>
      </c>
      <c r="T112">
        <f>AVERAGE(T102:T110)</f>
        <v>75.330240000000003</v>
      </c>
      <c r="Z112">
        <f>AVERAGE(Z102:Z110)</f>
        <v>86.853439999999992</v>
      </c>
    </row>
    <row r="114" spans="1:19" s="1" customFormat="1" ht="15.75" customHeight="1" x14ac:dyDescent="0.2"/>
    <row r="115" spans="1:19" ht="15.75" customHeight="1" x14ac:dyDescent="0.2">
      <c r="A115" t="s">
        <v>84</v>
      </c>
      <c r="P115" t="s">
        <v>75</v>
      </c>
      <c r="S115">
        <v>5</v>
      </c>
    </row>
    <row r="117" spans="1:19" ht="15.75" customHeight="1" x14ac:dyDescent="0.2">
      <c r="C117" t="s">
        <v>70</v>
      </c>
      <c r="D117" t="s">
        <v>71</v>
      </c>
      <c r="E117" t="s">
        <v>72</v>
      </c>
      <c r="F117" t="s">
        <v>73</v>
      </c>
      <c r="O117" t="s">
        <v>74</v>
      </c>
    </row>
    <row r="118" spans="1:19" ht="15.75" customHeight="1" x14ac:dyDescent="0.2">
      <c r="C118">
        <v>8</v>
      </c>
      <c r="D118">
        <v>13</v>
      </c>
      <c r="E118">
        <f>C118*D118</f>
        <v>104</v>
      </c>
      <c r="F118">
        <f>C118^2</f>
        <v>64</v>
      </c>
      <c r="O118">
        <f>D118^2</f>
        <v>169</v>
      </c>
    </row>
    <row r="119" spans="1:19" ht="15.75" customHeight="1" x14ac:dyDescent="0.2">
      <c r="C119">
        <v>11</v>
      </c>
      <c r="D119">
        <v>32</v>
      </c>
      <c r="E119">
        <f>C119*D119</f>
        <v>352</v>
      </c>
      <c r="F119">
        <f>C119^2</f>
        <v>121</v>
      </c>
      <c r="O119">
        <f>D119^2</f>
        <v>1024</v>
      </c>
    </row>
    <row r="120" spans="1:19" ht="15.75" customHeight="1" x14ac:dyDescent="0.2">
      <c r="C120">
        <v>10</v>
      </c>
      <c r="D120">
        <v>20</v>
      </c>
      <c r="E120">
        <f>C120*D120</f>
        <v>200</v>
      </c>
      <c r="F120">
        <f>C120^2</f>
        <v>100</v>
      </c>
      <c r="O120">
        <f>D120^2</f>
        <v>400</v>
      </c>
    </row>
    <row r="121" spans="1:19" ht="15.75" customHeight="1" x14ac:dyDescent="0.2">
      <c r="C121">
        <v>14</v>
      </c>
      <c r="D121">
        <v>47</v>
      </c>
      <c r="E121">
        <f>C121*D121</f>
        <v>658</v>
      </c>
      <c r="F121">
        <f>C121^2</f>
        <v>196</v>
      </c>
      <c r="O121">
        <f>D121^2</f>
        <v>2209</v>
      </c>
    </row>
    <row r="122" spans="1:19" ht="15.75" customHeight="1" x14ac:dyDescent="0.2">
      <c r="C122">
        <v>5</v>
      </c>
      <c r="D122">
        <v>8</v>
      </c>
      <c r="E122">
        <f>C122*D122</f>
        <v>40</v>
      </c>
      <c r="F122">
        <f>C122^2</f>
        <v>25</v>
      </c>
      <c r="O122">
        <f>D122^2</f>
        <v>64</v>
      </c>
    </row>
    <row r="124" spans="1:19" ht="15.75" customHeight="1" x14ac:dyDescent="0.2">
      <c r="B124" t="s">
        <v>76</v>
      </c>
      <c r="C124">
        <f>SUM(C118:C122)</f>
        <v>48</v>
      </c>
      <c r="D124">
        <f>SUM(D118:D122)</f>
        <v>120</v>
      </c>
      <c r="E124">
        <f>SUM(E118:E122)</f>
        <v>1354</v>
      </c>
      <c r="F124">
        <f>SUM(F118:F122)</f>
        <v>506</v>
      </c>
      <c r="O124">
        <f>SUM(O118:O122)</f>
        <v>3866</v>
      </c>
    </row>
    <row r="126" spans="1:19" ht="15.75" customHeight="1" x14ac:dyDescent="0.2">
      <c r="A126" t="s">
        <v>77</v>
      </c>
      <c r="O126" t="s">
        <v>83</v>
      </c>
    </row>
    <row r="127" spans="1:19" ht="15.75" customHeight="1" x14ac:dyDescent="0.2">
      <c r="B127" t="s">
        <v>78</v>
      </c>
      <c r="E127">
        <f>(S115*E124-C124*D124)/SQRT((S115*F124-C124*C124)*(S115*O124-D124*D124))</f>
        <v>0.95684963286328684</v>
      </c>
      <c r="P127" t="s">
        <v>79</v>
      </c>
    </row>
    <row r="129" spans="1:19" ht="15.75" customHeight="1" x14ac:dyDescent="0.2">
      <c r="P129" t="s">
        <v>80</v>
      </c>
      <c r="S129">
        <f>(S115*E124-C124*D124)/(S115*F124-C124*C124)</f>
        <v>4.4690265486725664</v>
      </c>
    </row>
    <row r="130" spans="1:19" ht="15.75" customHeight="1" x14ac:dyDescent="0.2">
      <c r="B130" t="s">
        <v>81</v>
      </c>
      <c r="E130">
        <f>E127*E127</f>
        <v>0.91556121991060679</v>
      </c>
      <c r="F130" t="s">
        <v>85</v>
      </c>
    </row>
    <row r="131" spans="1:19" ht="15.75" customHeight="1" x14ac:dyDescent="0.2">
      <c r="P131" t="s">
        <v>69</v>
      </c>
      <c r="S131">
        <f>(D124-S129*C124)/S115</f>
        <v>-18.902654867256636</v>
      </c>
    </row>
    <row r="133" spans="1:19" ht="15.75" customHeight="1" x14ac:dyDescent="0.2">
      <c r="P133" t="s">
        <v>82</v>
      </c>
      <c r="S133">
        <f>S131+S129*18</f>
        <v>61.539823008849559</v>
      </c>
    </row>
    <row r="135" spans="1:19" s="1" customFormat="1" ht="15.75" customHeight="1" x14ac:dyDescent="0.2"/>
    <row r="136" spans="1:19" ht="15.75" customHeight="1" x14ac:dyDescent="0.2">
      <c r="A136" t="s">
        <v>86</v>
      </c>
    </row>
    <row r="138" spans="1:19" ht="15.75" customHeight="1" x14ac:dyDescent="0.2">
      <c r="C138" t="s">
        <v>87</v>
      </c>
      <c r="D138" t="s">
        <v>88</v>
      </c>
      <c r="K138" t="s">
        <v>91</v>
      </c>
      <c r="O138">
        <v>5</v>
      </c>
    </row>
    <row r="139" spans="1:19" ht="15.75" customHeight="1" x14ac:dyDescent="0.2">
      <c r="C139" t="s">
        <v>89</v>
      </c>
      <c r="D139" t="s">
        <v>90</v>
      </c>
      <c r="E139" t="s">
        <v>92</v>
      </c>
      <c r="F139" t="s">
        <v>93</v>
      </c>
    </row>
    <row r="140" spans="1:19" ht="15.75" customHeight="1" x14ac:dyDescent="0.2">
      <c r="C140">
        <v>1</v>
      </c>
      <c r="D140">
        <v>228</v>
      </c>
      <c r="E140">
        <f>D140*C140</f>
        <v>228</v>
      </c>
      <c r="F140">
        <f>C140^2</f>
        <v>1</v>
      </c>
    </row>
    <row r="141" spans="1:19" ht="15.75" customHeight="1" x14ac:dyDescent="0.2">
      <c r="C141">
        <v>2</v>
      </c>
      <c r="D141">
        <v>251</v>
      </c>
      <c r="E141">
        <f>D141*C141</f>
        <v>502</v>
      </c>
      <c r="F141">
        <f>C141^2</f>
        <v>4</v>
      </c>
    </row>
    <row r="142" spans="1:19" ht="15.75" customHeight="1" x14ac:dyDescent="0.2">
      <c r="C142">
        <v>3</v>
      </c>
      <c r="D142">
        <v>273</v>
      </c>
      <c r="E142">
        <f>D142*C142</f>
        <v>819</v>
      </c>
      <c r="F142">
        <f>C142^2</f>
        <v>9</v>
      </c>
    </row>
    <row r="143" spans="1:19" ht="15.75" customHeight="1" x14ac:dyDescent="0.2">
      <c r="C143">
        <v>4</v>
      </c>
      <c r="D143">
        <v>294</v>
      </c>
      <c r="E143">
        <f>D143*C143</f>
        <v>1176</v>
      </c>
      <c r="F143">
        <f>C143^2</f>
        <v>16</v>
      </c>
    </row>
    <row r="144" spans="1:19" ht="15.75" customHeight="1" x14ac:dyDescent="0.2">
      <c r="C144">
        <v>5</v>
      </c>
      <c r="D144">
        <v>313</v>
      </c>
      <c r="E144">
        <f>D144*C144</f>
        <v>1565</v>
      </c>
      <c r="F144">
        <f>C144^2</f>
        <v>25</v>
      </c>
    </row>
    <row r="145" spans="1:23" ht="15.75" customHeight="1" x14ac:dyDescent="0.2">
      <c r="B145" t="s">
        <v>94</v>
      </c>
      <c r="C145">
        <f>SUM(C140:C144)</f>
        <v>15</v>
      </c>
      <c r="D145">
        <f>SUM(D140:D144)</f>
        <v>1359</v>
      </c>
      <c r="E145">
        <f>SUM(E140:E144)</f>
        <v>4290</v>
      </c>
      <c r="F145">
        <f>SUM(F140:F144)</f>
        <v>55</v>
      </c>
    </row>
    <row r="148" spans="1:23" ht="15.75" customHeight="1" x14ac:dyDescent="0.2">
      <c r="C148" t="s">
        <v>80</v>
      </c>
      <c r="D148">
        <f>(O138*E145-C145*D145)/(O138*F145-C145*C145)</f>
        <v>21.3</v>
      </c>
    </row>
    <row r="150" spans="1:23" ht="15.75" customHeight="1" x14ac:dyDescent="0.2">
      <c r="C150" t="s">
        <v>69</v>
      </c>
      <c r="D150">
        <f>(D145-D148*C145)/O138</f>
        <v>207.9</v>
      </c>
    </row>
    <row r="152" spans="1:23" ht="15.75" customHeight="1" x14ac:dyDescent="0.2">
      <c r="C152" t="s">
        <v>82</v>
      </c>
      <c r="D152">
        <f>D150+D148*6</f>
        <v>335.70000000000005</v>
      </c>
      <c r="E152" t="s">
        <v>95</v>
      </c>
    </row>
    <row r="154" spans="1:23" ht="15.75" customHeight="1" x14ac:dyDescent="0.2">
      <c r="C154" t="s">
        <v>82</v>
      </c>
      <c r="D154">
        <f>D150+D148*7</f>
        <v>357</v>
      </c>
      <c r="E154" t="s">
        <v>96</v>
      </c>
    </row>
    <row r="156" spans="1:23" s="1" customFormat="1" ht="15.75" customHeight="1" x14ac:dyDescent="0.2"/>
    <row r="157" spans="1:23" ht="15.75" customHeight="1" x14ac:dyDescent="0.2">
      <c r="A157" t="s">
        <v>97</v>
      </c>
    </row>
    <row r="158" spans="1:23" ht="15.75" customHeight="1" x14ac:dyDescent="0.2">
      <c r="O158" t="s">
        <v>69</v>
      </c>
      <c r="P158">
        <v>0.3</v>
      </c>
    </row>
    <row r="159" spans="1:23" ht="15.75" customHeight="1" x14ac:dyDescent="0.2">
      <c r="R159">
        <v>-1</v>
      </c>
    </row>
    <row r="160" spans="1:23" ht="15.75" customHeight="1" x14ac:dyDescent="0.2">
      <c r="C160" t="s">
        <v>67</v>
      </c>
      <c r="D160" t="s">
        <v>98</v>
      </c>
      <c r="F160" t="s">
        <v>99</v>
      </c>
      <c r="J160" t="s">
        <v>19</v>
      </c>
      <c r="K160" t="s">
        <v>17</v>
      </c>
      <c r="O160" t="s">
        <v>100</v>
      </c>
      <c r="Q160" t="s">
        <v>19</v>
      </c>
      <c r="R160" t="s">
        <v>17</v>
      </c>
      <c r="T160" t="s">
        <v>101</v>
      </c>
      <c r="V160" t="s">
        <v>19</v>
      </c>
      <c r="W160" t="s">
        <v>17</v>
      </c>
    </row>
    <row r="161" spans="3:4" ht="15.75" customHeight="1" x14ac:dyDescent="0.2">
      <c r="C161">
        <v>1</v>
      </c>
      <c r="D161">
        <v>351</v>
      </c>
    </row>
    <row r="162" spans="3:4" ht="15.75" customHeight="1" x14ac:dyDescent="0.2">
      <c r="C162">
        <v>2</v>
      </c>
      <c r="D162">
        <v>349</v>
      </c>
    </row>
    <row r="164" spans="3:4" ht="15.75" customHeight="1" x14ac:dyDescent="0.2">
      <c r="C164">
        <v>3</v>
      </c>
      <c r="D164">
        <v>367</v>
      </c>
    </row>
    <row r="166" spans="3:4" ht="15.75" customHeight="1" x14ac:dyDescent="0.2">
      <c r="C166">
        <v>4</v>
      </c>
      <c r="D166">
        <v>314</v>
      </c>
    </row>
    <row r="168" spans="3:4" s="2" customFormat="1" ht="15.75" customHeight="1" x14ac:dyDescent="0.2">
      <c r="C168" s="2">
        <v>5</v>
      </c>
      <c r="D168" s="2">
        <v>366</v>
      </c>
    </row>
    <row r="170" spans="3:4" ht="15.75" customHeight="1" x14ac:dyDescent="0.2">
      <c r="C170" t="s">
        <v>48</v>
      </c>
    </row>
    <row r="172" spans="3:4" ht="15.75" customHeight="1" x14ac:dyDescent="0.2">
      <c r="C172">
        <v>6</v>
      </c>
      <c r="D172">
        <v>364</v>
      </c>
    </row>
    <row r="174" spans="3:4" ht="15.75" customHeight="1" x14ac:dyDescent="0.2">
      <c r="C174" t="s">
        <v>65</v>
      </c>
    </row>
    <row r="178" spans="1:17" s="1" customFormat="1" ht="15.75" customHeight="1" x14ac:dyDescent="0.2"/>
    <row r="179" spans="1:17" ht="15.75" customHeight="1" x14ac:dyDescent="0.2">
      <c r="D179" t="s">
        <v>75</v>
      </c>
      <c r="E179">
        <v>5</v>
      </c>
      <c r="P179">
        <v>-1</v>
      </c>
    </row>
    <row r="180" spans="1:17" ht="15.75" customHeight="1" x14ac:dyDescent="0.2">
      <c r="A180" t="s">
        <v>102</v>
      </c>
    </row>
    <row r="181" spans="1:17" ht="15.75" customHeight="1" x14ac:dyDescent="0.2">
      <c r="C181" t="s">
        <v>103</v>
      </c>
      <c r="D181" t="s">
        <v>104</v>
      </c>
      <c r="F181" t="s">
        <v>105</v>
      </c>
      <c r="G181" t="s">
        <v>111</v>
      </c>
      <c r="H181" t="s">
        <v>17</v>
      </c>
      <c r="I181" t="s">
        <v>112</v>
      </c>
      <c r="J181" t="s">
        <v>106</v>
      </c>
      <c r="K181" t="s">
        <v>111</v>
      </c>
      <c r="L181" t="s">
        <v>17</v>
      </c>
      <c r="M181" t="s">
        <v>112</v>
      </c>
      <c r="N181" t="s">
        <v>107</v>
      </c>
      <c r="O181" t="s">
        <v>111</v>
      </c>
      <c r="P181" t="s">
        <v>17</v>
      </c>
      <c r="Q181" t="s">
        <v>112</v>
      </c>
    </row>
    <row r="182" spans="1:17" ht="15.75" customHeight="1" x14ac:dyDescent="0.2">
      <c r="C182">
        <v>1</v>
      </c>
      <c r="D182">
        <v>11</v>
      </c>
      <c r="F182">
        <v>9</v>
      </c>
      <c r="G182">
        <f>D182-F182</f>
        <v>2</v>
      </c>
      <c r="H182">
        <f>G182</f>
        <v>2</v>
      </c>
      <c r="I182">
        <f>H182^2</f>
        <v>4</v>
      </c>
      <c r="J182">
        <v>7</v>
      </c>
      <c r="K182">
        <f>D182-J182</f>
        <v>4</v>
      </c>
      <c r="L182">
        <f>K182</f>
        <v>4</v>
      </c>
      <c r="M182">
        <f>L182^2</f>
        <v>16</v>
      </c>
      <c r="N182">
        <v>8</v>
      </c>
      <c r="O182">
        <f>D182-N182</f>
        <v>3</v>
      </c>
      <c r="P182">
        <f>O182</f>
        <v>3</v>
      </c>
      <c r="Q182">
        <f>P182^2</f>
        <v>9</v>
      </c>
    </row>
    <row r="183" spans="1:17" ht="15.75" customHeight="1" x14ac:dyDescent="0.2">
      <c r="C183">
        <v>2</v>
      </c>
      <c r="D183">
        <v>7</v>
      </c>
      <c r="F183">
        <v>11</v>
      </c>
      <c r="G183">
        <f>D183-F183</f>
        <v>-4</v>
      </c>
      <c r="H183">
        <f>G183*-1</f>
        <v>4</v>
      </c>
      <c r="I183">
        <f>H183^2</f>
        <v>16</v>
      </c>
      <c r="J183">
        <v>11</v>
      </c>
      <c r="K183">
        <f>D183-J183</f>
        <v>-4</v>
      </c>
      <c r="L183">
        <f>K183*-1</f>
        <v>4</v>
      </c>
      <c r="M183">
        <f>L183^2</f>
        <v>16</v>
      </c>
      <c r="N183">
        <v>11</v>
      </c>
      <c r="O183">
        <f>D183-N183</f>
        <v>-4</v>
      </c>
      <c r="P183">
        <f>O183*P179</f>
        <v>4</v>
      </c>
      <c r="Q183">
        <f>P183^2</f>
        <v>16</v>
      </c>
    </row>
    <row r="184" spans="1:17" ht="15.75" customHeight="1" x14ac:dyDescent="0.2">
      <c r="C184">
        <v>3</v>
      </c>
      <c r="D184">
        <v>14</v>
      </c>
      <c r="F184">
        <v>13</v>
      </c>
      <c r="G184">
        <f>D184-F184</f>
        <v>1</v>
      </c>
      <c r="H184">
        <f>G184</f>
        <v>1</v>
      </c>
      <c r="I184">
        <f>H184^2</f>
        <v>1</v>
      </c>
      <c r="J184">
        <v>11</v>
      </c>
      <c r="K184">
        <f>D184-J184</f>
        <v>3</v>
      </c>
      <c r="L184">
        <f>K184</f>
        <v>3</v>
      </c>
      <c r="M184">
        <f>L184^2</f>
        <v>9</v>
      </c>
      <c r="N184">
        <v>7</v>
      </c>
      <c r="O184">
        <f>D184-N184</f>
        <v>7</v>
      </c>
      <c r="P184">
        <f>O184</f>
        <v>7</v>
      </c>
      <c r="Q184">
        <f>P184^2</f>
        <v>49</v>
      </c>
    </row>
    <row r="185" spans="1:17" ht="15.75" customHeight="1" x14ac:dyDescent="0.2">
      <c r="C185">
        <v>4</v>
      </c>
      <c r="D185">
        <v>8</v>
      </c>
      <c r="F185">
        <v>13</v>
      </c>
      <c r="G185">
        <f>D185-F185</f>
        <v>-5</v>
      </c>
      <c r="H185">
        <f>G185*-1</f>
        <v>5</v>
      </c>
      <c r="I185">
        <f>H185^2</f>
        <v>25</v>
      </c>
      <c r="J185">
        <v>5</v>
      </c>
      <c r="K185">
        <f>D185-J185</f>
        <v>3</v>
      </c>
      <c r="L185">
        <f>K185</f>
        <v>3</v>
      </c>
      <c r="M185">
        <f>L185^2</f>
        <v>9</v>
      </c>
      <c r="N185">
        <v>14</v>
      </c>
      <c r="O185">
        <f>D185-N185</f>
        <v>-6</v>
      </c>
      <c r="P185">
        <f>O185*-1</f>
        <v>6</v>
      </c>
      <c r="Q185">
        <f>P185^2</f>
        <v>36</v>
      </c>
    </row>
    <row r="186" spans="1:17" ht="15.75" customHeight="1" x14ac:dyDescent="0.2">
      <c r="C186">
        <v>5</v>
      </c>
      <c r="D186">
        <v>9</v>
      </c>
      <c r="F186">
        <v>13</v>
      </c>
      <c r="G186">
        <f>D186-F186</f>
        <v>-4</v>
      </c>
      <c r="H186">
        <f>G186*-1</f>
        <v>4</v>
      </c>
      <c r="I186">
        <f>H186^2</f>
        <v>16</v>
      </c>
      <c r="J186">
        <v>13</v>
      </c>
      <c r="K186">
        <f>D186-J186</f>
        <v>-4</v>
      </c>
      <c r="L186">
        <f>K186*-1</f>
        <v>4</v>
      </c>
      <c r="M186">
        <f>L186^2</f>
        <v>16</v>
      </c>
      <c r="N186">
        <v>8</v>
      </c>
      <c r="O186">
        <f>D186-N186</f>
        <v>1</v>
      </c>
      <c r="P186">
        <f>O186</f>
        <v>1</v>
      </c>
      <c r="Q186">
        <f>P186^2</f>
        <v>1</v>
      </c>
    </row>
    <row r="190" spans="1:17" ht="15.75" customHeight="1" x14ac:dyDescent="0.2">
      <c r="D190" t="s">
        <v>65</v>
      </c>
      <c r="E190" t="s">
        <v>66</v>
      </c>
    </row>
    <row r="191" spans="1:17" ht="15.75" customHeight="1" x14ac:dyDescent="0.2">
      <c r="C191" t="s">
        <v>108</v>
      </c>
      <c r="D191">
        <f>SUM(H182:H186)/E179</f>
        <v>3.2</v>
      </c>
      <c r="E191">
        <f>SUM(I182:I186)/5</f>
        <v>12.4</v>
      </c>
    </row>
    <row r="192" spans="1:17" ht="15.75" customHeight="1" x14ac:dyDescent="0.2">
      <c r="C192" t="s">
        <v>109</v>
      </c>
      <c r="D192">
        <f>SUM(L182:L186)/5</f>
        <v>3.6</v>
      </c>
      <c r="E192">
        <f>SUM(M182:M186)/5</f>
        <v>13.2</v>
      </c>
    </row>
    <row r="193" spans="1:10" ht="15.75" customHeight="1" x14ac:dyDescent="0.2">
      <c r="C193" t="s">
        <v>110</v>
      </c>
      <c r="D193">
        <f>SUM(P182:P186)/5</f>
        <v>4.2</v>
      </c>
      <c r="E193">
        <f>SUM(Q182:Q186)/5</f>
        <v>22.2</v>
      </c>
    </row>
    <row r="194" spans="1:10" s="1" customFormat="1" ht="15.75" customHeight="1" x14ac:dyDescent="0.2"/>
    <row r="195" spans="1:10" ht="15.75" customHeight="1" x14ac:dyDescent="0.2">
      <c r="A195" t="s">
        <v>113</v>
      </c>
    </row>
    <row r="198" spans="1:10" ht="15.75" customHeight="1" x14ac:dyDescent="0.2">
      <c r="C198" t="s">
        <v>53</v>
      </c>
      <c r="D198" t="s">
        <v>54</v>
      </c>
    </row>
    <row r="199" spans="1:10" ht="15.75" customHeight="1" x14ac:dyDescent="0.2">
      <c r="C199" t="s">
        <v>114</v>
      </c>
      <c r="D199" t="s">
        <v>115</v>
      </c>
      <c r="E199" t="s">
        <v>72</v>
      </c>
      <c r="F199" t="s">
        <v>73</v>
      </c>
      <c r="G199" t="s">
        <v>74</v>
      </c>
    </row>
    <row r="200" spans="1:10" ht="15.75" customHeight="1" x14ac:dyDescent="0.2">
      <c r="C200">
        <v>1</v>
      </c>
      <c r="D200">
        <v>236</v>
      </c>
      <c r="E200">
        <f>D200*C200</f>
        <v>236</v>
      </c>
      <c r="F200">
        <f>POWER(C200,2)</f>
        <v>1</v>
      </c>
      <c r="G200">
        <f>POWER(D200,2)</f>
        <v>55696</v>
      </c>
    </row>
    <row r="201" spans="1:10" ht="15.75" customHeight="1" x14ac:dyDescent="0.2">
      <c r="C201">
        <v>2</v>
      </c>
      <c r="D201">
        <v>249</v>
      </c>
      <c r="E201">
        <f t="shared" ref="E201:E223" si="0">D201*C201</f>
        <v>498</v>
      </c>
      <c r="F201">
        <f t="shared" ref="F201:F223" si="1">POWER(C201,2)</f>
        <v>4</v>
      </c>
      <c r="G201">
        <f t="shared" ref="G201:G223" si="2">POWER(D201,2)</f>
        <v>62001</v>
      </c>
    </row>
    <row r="202" spans="1:10" ht="15.75" customHeight="1" x14ac:dyDescent="0.2">
      <c r="C202">
        <v>3</v>
      </c>
      <c r="D202">
        <v>264</v>
      </c>
      <c r="E202">
        <f t="shared" si="0"/>
        <v>792</v>
      </c>
      <c r="F202">
        <f t="shared" si="1"/>
        <v>9</v>
      </c>
      <c r="G202">
        <f t="shared" si="2"/>
        <v>69696</v>
      </c>
      <c r="I202" t="s">
        <v>116</v>
      </c>
      <c r="J202">
        <v>24</v>
      </c>
    </row>
    <row r="203" spans="1:10" ht="15.75" customHeight="1" x14ac:dyDescent="0.2">
      <c r="C203">
        <v>4</v>
      </c>
      <c r="D203">
        <v>262</v>
      </c>
      <c r="E203">
        <f t="shared" si="0"/>
        <v>1048</v>
      </c>
      <c r="F203">
        <f t="shared" si="1"/>
        <v>16</v>
      </c>
      <c r="G203">
        <f t="shared" si="2"/>
        <v>68644</v>
      </c>
    </row>
    <row r="204" spans="1:10" ht="15.75" customHeight="1" x14ac:dyDescent="0.2">
      <c r="C204">
        <v>5</v>
      </c>
      <c r="D204">
        <v>261</v>
      </c>
      <c r="E204">
        <f t="shared" si="0"/>
        <v>1305</v>
      </c>
      <c r="F204">
        <f t="shared" si="1"/>
        <v>25</v>
      </c>
      <c r="G204">
        <f t="shared" si="2"/>
        <v>68121</v>
      </c>
    </row>
    <row r="205" spans="1:10" ht="15.75" customHeight="1" x14ac:dyDescent="0.2">
      <c r="C205">
        <v>6</v>
      </c>
      <c r="D205">
        <v>276</v>
      </c>
      <c r="E205">
        <f t="shared" si="0"/>
        <v>1656</v>
      </c>
      <c r="F205">
        <f t="shared" si="1"/>
        <v>36</v>
      </c>
      <c r="G205">
        <f t="shared" si="2"/>
        <v>76176</v>
      </c>
      <c r="I205" t="s">
        <v>80</v>
      </c>
      <c r="J205">
        <f>(J202*E225-C225*D225)/(J202*F225-C225*C225)</f>
        <v>7.0186956521739132</v>
      </c>
    </row>
    <row r="206" spans="1:10" ht="15.75" customHeight="1" x14ac:dyDescent="0.2">
      <c r="C206">
        <v>7</v>
      </c>
      <c r="D206">
        <v>398</v>
      </c>
      <c r="E206">
        <f t="shared" si="0"/>
        <v>2786</v>
      </c>
      <c r="F206">
        <f t="shared" si="1"/>
        <v>49</v>
      </c>
      <c r="G206">
        <f t="shared" si="2"/>
        <v>158404</v>
      </c>
    </row>
    <row r="207" spans="1:10" ht="15.75" customHeight="1" x14ac:dyDescent="0.2">
      <c r="C207">
        <v>8</v>
      </c>
      <c r="D207">
        <v>313</v>
      </c>
      <c r="E207">
        <f t="shared" si="0"/>
        <v>2504</v>
      </c>
      <c r="F207">
        <f t="shared" si="1"/>
        <v>64</v>
      </c>
      <c r="G207">
        <f t="shared" si="2"/>
        <v>97969</v>
      </c>
    </row>
    <row r="208" spans="1:10" ht="15.75" customHeight="1" x14ac:dyDescent="0.2">
      <c r="C208">
        <v>9</v>
      </c>
      <c r="D208">
        <v>301</v>
      </c>
      <c r="E208">
        <f t="shared" si="0"/>
        <v>2709</v>
      </c>
      <c r="F208">
        <f t="shared" si="1"/>
        <v>81</v>
      </c>
      <c r="G208">
        <f t="shared" si="2"/>
        <v>90601</v>
      </c>
      <c r="I208" t="s">
        <v>69</v>
      </c>
      <c r="J208">
        <f>(D225-J205*C225)/J202</f>
        <v>251.55797101449275</v>
      </c>
    </row>
    <row r="209" spans="3:10" ht="15.75" customHeight="1" x14ac:dyDescent="0.2">
      <c r="C209">
        <v>10</v>
      </c>
      <c r="D209">
        <v>325</v>
      </c>
      <c r="E209">
        <f t="shared" si="0"/>
        <v>3250</v>
      </c>
      <c r="F209">
        <f t="shared" si="1"/>
        <v>100</v>
      </c>
      <c r="G209">
        <f t="shared" si="2"/>
        <v>105625</v>
      </c>
    </row>
    <row r="210" spans="3:10" ht="15.75" customHeight="1" x14ac:dyDescent="0.2">
      <c r="C210">
        <v>11</v>
      </c>
      <c r="D210">
        <v>347</v>
      </c>
      <c r="E210">
        <f t="shared" si="0"/>
        <v>3817</v>
      </c>
      <c r="F210">
        <f t="shared" si="1"/>
        <v>121</v>
      </c>
      <c r="G210">
        <f t="shared" si="2"/>
        <v>120409</v>
      </c>
    </row>
    <row r="211" spans="3:10" ht="15.75" customHeight="1" x14ac:dyDescent="0.2">
      <c r="C211">
        <v>12</v>
      </c>
      <c r="D211">
        <v>346</v>
      </c>
      <c r="E211">
        <f t="shared" si="0"/>
        <v>4152</v>
      </c>
      <c r="F211">
        <f t="shared" si="1"/>
        <v>144</v>
      </c>
      <c r="G211">
        <f t="shared" si="2"/>
        <v>119716</v>
      </c>
      <c r="I211" t="s">
        <v>78</v>
      </c>
    </row>
    <row r="212" spans="3:10" ht="15.75" customHeight="1" x14ac:dyDescent="0.2">
      <c r="C212">
        <v>13</v>
      </c>
      <c r="D212">
        <v>348</v>
      </c>
      <c r="E212">
        <f t="shared" si="0"/>
        <v>4524</v>
      </c>
      <c r="F212">
        <f t="shared" si="1"/>
        <v>169</v>
      </c>
      <c r="G212">
        <f t="shared" si="2"/>
        <v>121104</v>
      </c>
    </row>
    <row r="213" spans="3:10" ht="15.75" customHeight="1" x14ac:dyDescent="0.2">
      <c r="C213">
        <v>14</v>
      </c>
      <c r="D213">
        <v>372</v>
      </c>
      <c r="E213">
        <f t="shared" si="0"/>
        <v>5208</v>
      </c>
      <c r="F213">
        <f t="shared" si="1"/>
        <v>196</v>
      </c>
      <c r="G213">
        <f t="shared" si="2"/>
        <v>138384</v>
      </c>
      <c r="I213">
        <f>(J202*E225-C225*D225)/SQRT((J202*F225-C225*C225)*(J202*G225-D225*D225))</f>
        <v>0.8936910674905002</v>
      </c>
    </row>
    <row r="214" spans="3:10" ht="15.75" customHeight="1" x14ac:dyDescent="0.2">
      <c r="C214">
        <v>15</v>
      </c>
      <c r="D214">
        <v>381</v>
      </c>
      <c r="E214">
        <f t="shared" si="0"/>
        <v>5715</v>
      </c>
      <c r="F214">
        <f t="shared" si="1"/>
        <v>225</v>
      </c>
      <c r="G214">
        <f t="shared" si="2"/>
        <v>145161</v>
      </c>
    </row>
    <row r="215" spans="3:10" ht="15.75" customHeight="1" x14ac:dyDescent="0.2">
      <c r="C215">
        <v>16</v>
      </c>
      <c r="D215">
        <v>365</v>
      </c>
      <c r="E215">
        <f t="shared" si="0"/>
        <v>5840</v>
      </c>
      <c r="F215">
        <f t="shared" si="1"/>
        <v>256</v>
      </c>
      <c r="G215">
        <f t="shared" si="2"/>
        <v>133225</v>
      </c>
      <c r="I215" t="s">
        <v>81</v>
      </c>
    </row>
    <row r="216" spans="3:10" ht="15.75" customHeight="1" x14ac:dyDescent="0.2">
      <c r="C216">
        <v>17</v>
      </c>
      <c r="D216">
        <v>362</v>
      </c>
      <c r="E216">
        <f t="shared" si="0"/>
        <v>6154</v>
      </c>
      <c r="F216">
        <f t="shared" si="1"/>
        <v>289</v>
      </c>
      <c r="G216">
        <f t="shared" si="2"/>
        <v>131044</v>
      </c>
      <c r="I216">
        <f>I213*I213</f>
        <v>0.79868372411230981</v>
      </c>
    </row>
    <row r="217" spans="3:10" ht="15.75" customHeight="1" x14ac:dyDescent="0.2">
      <c r="C217">
        <v>18</v>
      </c>
      <c r="D217">
        <v>382</v>
      </c>
      <c r="E217">
        <f t="shared" si="0"/>
        <v>6876</v>
      </c>
      <c r="F217">
        <f t="shared" si="1"/>
        <v>324</v>
      </c>
      <c r="G217">
        <f t="shared" si="2"/>
        <v>145924</v>
      </c>
    </row>
    <row r="218" spans="3:10" ht="15.75" customHeight="1" x14ac:dyDescent="0.2">
      <c r="C218">
        <v>19</v>
      </c>
      <c r="D218">
        <v>368</v>
      </c>
      <c r="E218">
        <f t="shared" si="0"/>
        <v>6992</v>
      </c>
      <c r="F218">
        <f t="shared" si="1"/>
        <v>361</v>
      </c>
      <c r="G218">
        <f t="shared" si="2"/>
        <v>135424</v>
      </c>
    </row>
    <row r="219" spans="3:10" ht="15.75" customHeight="1" x14ac:dyDescent="0.2">
      <c r="C219">
        <v>20</v>
      </c>
      <c r="D219">
        <v>375</v>
      </c>
      <c r="E219">
        <f t="shared" si="0"/>
        <v>7500</v>
      </c>
      <c r="F219">
        <f t="shared" si="1"/>
        <v>400</v>
      </c>
      <c r="G219">
        <f t="shared" si="2"/>
        <v>140625</v>
      </c>
      <c r="I219" t="s">
        <v>117</v>
      </c>
      <c r="J219">
        <f>J208+J205*25</f>
        <v>427.02536231884062</v>
      </c>
    </row>
    <row r="220" spans="3:10" ht="15.75" customHeight="1" x14ac:dyDescent="0.2">
      <c r="C220">
        <v>21</v>
      </c>
      <c r="D220">
        <v>396</v>
      </c>
      <c r="E220">
        <f t="shared" si="0"/>
        <v>8316</v>
      </c>
      <c r="F220">
        <f t="shared" si="1"/>
        <v>441</v>
      </c>
      <c r="G220">
        <f t="shared" si="2"/>
        <v>156816</v>
      </c>
    </row>
    <row r="221" spans="3:10" ht="15.75" customHeight="1" x14ac:dyDescent="0.2">
      <c r="C221">
        <v>22</v>
      </c>
      <c r="D221">
        <v>396</v>
      </c>
      <c r="E221">
        <f t="shared" si="0"/>
        <v>8712</v>
      </c>
      <c r="F221">
        <f t="shared" si="1"/>
        <v>484</v>
      </c>
      <c r="G221">
        <f t="shared" si="2"/>
        <v>156816</v>
      </c>
    </row>
    <row r="222" spans="3:10" ht="15.75" customHeight="1" x14ac:dyDescent="0.2">
      <c r="C222">
        <v>23</v>
      </c>
      <c r="D222">
        <v>411</v>
      </c>
      <c r="E222">
        <f t="shared" si="0"/>
        <v>9453</v>
      </c>
      <c r="F222">
        <f t="shared" si="1"/>
        <v>529</v>
      </c>
      <c r="G222">
        <f t="shared" si="2"/>
        <v>168921</v>
      </c>
    </row>
    <row r="223" spans="3:10" ht="15.75" customHeight="1" x14ac:dyDescent="0.2">
      <c r="C223">
        <v>24</v>
      </c>
      <c r="D223">
        <v>409</v>
      </c>
      <c r="E223">
        <f t="shared" si="0"/>
        <v>9816</v>
      </c>
      <c r="F223">
        <f t="shared" si="1"/>
        <v>576</v>
      </c>
      <c r="G223">
        <f t="shared" si="2"/>
        <v>167281</v>
      </c>
    </row>
    <row r="225" spans="2:7" ht="15.75" customHeight="1" x14ac:dyDescent="0.2">
      <c r="B225" t="s">
        <v>94</v>
      </c>
      <c r="C225">
        <f>SUM(C200:C224)</f>
        <v>300</v>
      </c>
      <c r="D225">
        <f>SUM(D200:D224)</f>
        <v>8143</v>
      </c>
      <c r="E225">
        <f>SUM(E200:E224)</f>
        <v>109859</v>
      </c>
      <c r="F225">
        <f>SUM(F200:F224)</f>
        <v>4900</v>
      </c>
      <c r="G225">
        <f>SUM(G200:G224)</f>
        <v>2833783</v>
      </c>
    </row>
    <row r="226" spans="2:7" s="1" customFormat="1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B66B-22D2-2F44-A7F9-831B37FD1C6A}">
  <dimension ref="A1:I16"/>
  <sheetViews>
    <sheetView topLeftCell="A3" zoomScale="150" workbookViewId="0">
      <selection activeCell="C12" sqref="C12"/>
    </sheetView>
  </sheetViews>
  <sheetFormatPr baseColWidth="10" defaultRowHeight="16" x14ac:dyDescent="0.2"/>
  <sheetData>
    <row r="1" spans="1:9" x14ac:dyDescent="0.2">
      <c r="A1" t="s">
        <v>119</v>
      </c>
    </row>
    <row r="2" spans="1:9" x14ac:dyDescent="0.2">
      <c r="E2" t="s">
        <v>127</v>
      </c>
      <c r="F2" t="s">
        <v>128</v>
      </c>
    </row>
    <row r="3" spans="1:9" x14ac:dyDescent="0.2">
      <c r="A3" t="s">
        <v>77</v>
      </c>
      <c r="B3" t="s">
        <v>120</v>
      </c>
      <c r="E3" t="s">
        <v>129</v>
      </c>
      <c r="G3" t="s">
        <v>130</v>
      </c>
    </row>
    <row r="4" spans="1:9" x14ac:dyDescent="0.2">
      <c r="E4" t="s">
        <v>131</v>
      </c>
      <c r="G4" t="s">
        <v>132</v>
      </c>
    </row>
    <row r="5" spans="1:9" x14ac:dyDescent="0.2">
      <c r="B5" t="s">
        <v>121</v>
      </c>
    </row>
    <row r="6" spans="1:9" x14ac:dyDescent="0.2">
      <c r="B6" t="s">
        <v>122</v>
      </c>
      <c r="C6">
        <v>3000</v>
      </c>
    </row>
    <row r="7" spans="1:9" x14ac:dyDescent="0.2">
      <c r="B7" t="s">
        <v>124</v>
      </c>
      <c r="C7">
        <v>0.5</v>
      </c>
      <c r="G7" t="s">
        <v>126</v>
      </c>
      <c r="H7">
        <v>9000</v>
      </c>
    </row>
    <row r="8" spans="1:9" x14ac:dyDescent="0.2">
      <c r="B8" t="s">
        <v>123</v>
      </c>
      <c r="C8">
        <v>5</v>
      </c>
      <c r="F8" t="s">
        <v>121</v>
      </c>
      <c r="I8" t="s">
        <v>125</v>
      </c>
    </row>
    <row r="9" spans="1:9" x14ac:dyDescent="0.2">
      <c r="F9">
        <f>C8*H7-(C6+C7*H7)</f>
        <v>37500</v>
      </c>
      <c r="I9">
        <f>C12*H7-(C10+C11*H7)</f>
        <v>43500</v>
      </c>
    </row>
    <row r="10" spans="1:9" x14ac:dyDescent="0.2">
      <c r="B10" t="s">
        <v>122</v>
      </c>
      <c r="C10">
        <v>6000</v>
      </c>
    </row>
    <row r="11" spans="1:9" x14ac:dyDescent="0.2">
      <c r="B11" t="s">
        <v>124</v>
      </c>
      <c r="C11">
        <v>0.5</v>
      </c>
    </row>
    <row r="12" spans="1:9" x14ac:dyDescent="0.2">
      <c r="B12" t="s">
        <v>123</v>
      </c>
      <c r="C12">
        <v>6</v>
      </c>
    </row>
    <row r="14" spans="1:9" x14ac:dyDescent="0.2">
      <c r="A14" t="s">
        <v>83</v>
      </c>
      <c r="B14" t="s">
        <v>133</v>
      </c>
    </row>
    <row r="15" spans="1:9" x14ac:dyDescent="0.2">
      <c r="B15" t="s">
        <v>126</v>
      </c>
      <c r="C15">
        <v>1000</v>
      </c>
    </row>
    <row r="16" spans="1:9" x14ac:dyDescent="0.2">
      <c r="C16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1957-3CC5-C949-B79C-34F833A6872A}">
  <dimension ref="A2:M100"/>
  <sheetViews>
    <sheetView zoomScale="50" zoomScaleNormal="63" workbookViewId="0">
      <selection activeCell="C8" sqref="C8"/>
    </sheetView>
  </sheetViews>
  <sheetFormatPr baseColWidth="10" defaultRowHeight="16" x14ac:dyDescent="0.2"/>
  <cols>
    <col min="2" max="2" width="51.6640625" bestFit="1" customWidth="1"/>
    <col min="3" max="3" width="51.6640625" customWidth="1"/>
    <col min="4" max="4" width="23.5" bestFit="1" customWidth="1"/>
    <col min="5" max="5" width="14" bestFit="1" customWidth="1"/>
    <col min="8" max="8" width="28" bestFit="1" customWidth="1"/>
  </cols>
  <sheetData>
    <row r="2" spans="2:10" x14ac:dyDescent="0.2">
      <c r="B2" s="6" t="s">
        <v>135</v>
      </c>
      <c r="G2" s="6" t="s">
        <v>156</v>
      </c>
    </row>
    <row r="4" spans="2:10" x14ac:dyDescent="0.2">
      <c r="B4" s="6" t="s">
        <v>136</v>
      </c>
    </row>
    <row r="5" spans="2:10" x14ac:dyDescent="0.2">
      <c r="G5" s="6" t="s">
        <v>157</v>
      </c>
    </row>
    <row r="6" spans="2:10" x14ac:dyDescent="0.2">
      <c r="D6" s="6" t="s">
        <v>145</v>
      </c>
      <c r="E6" s="6" t="s">
        <v>146</v>
      </c>
      <c r="G6" s="6" t="s">
        <v>177</v>
      </c>
      <c r="H6" t="s">
        <v>158</v>
      </c>
    </row>
    <row r="7" spans="2:10" x14ac:dyDescent="0.2">
      <c r="C7" t="s">
        <v>137</v>
      </c>
      <c r="D7" s="7">
        <v>60</v>
      </c>
      <c r="E7" s="7">
        <v>50</v>
      </c>
      <c r="G7" s="6" t="s">
        <v>178</v>
      </c>
      <c r="H7" t="s">
        <v>159</v>
      </c>
    </row>
    <row r="8" spans="2:10" x14ac:dyDescent="0.2">
      <c r="C8" t="s">
        <v>138</v>
      </c>
      <c r="D8" t="s">
        <v>147</v>
      </c>
      <c r="E8" t="s">
        <v>148</v>
      </c>
    </row>
    <row r="9" spans="2:10" x14ac:dyDescent="0.2">
      <c r="C9" t="s">
        <v>139</v>
      </c>
      <c r="D9" t="s">
        <v>149</v>
      </c>
      <c r="E9" t="s">
        <v>150</v>
      </c>
      <c r="G9" s="6" t="s">
        <v>160</v>
      </c>
    </row>
    <row r="10" spans="2:10" x14ac:dyDescent="0.2">
      <c r="C10" t="s">
        <v>140</v>
      </c>
      <c r="D10" t="s">
        <v>151</v>
      </c>
      <c r="E10" t="s">
        <v>152</v>
      </c>
      <c r="G10" s="6" t="s">
        <v>161</v>
      </c>
      <c r="H10" t="s">
        <v>176</v>
      </c>
    </row>
    <row r="11" spans="2:10" x14ac:dyDescent="0.2">
      <c r="G11" s="6" t="s">
        <v>162</v>
      </c>
    </row>
    <row r="12" spans="2:10" x14ac:dyDescent="0.2">
      <c r="B12" s="6" t="s">
        <v>141</v>
      </c>
    </row>
    <row r="13" spans="2:10" x14ac:dyDescent="0.2">
      <c r="G13" s="6" t="s">
        <v>163</v>
      </c>
    </row>
    <row r="14" spans="2:10" x14ac:dyDescent="0.2">
      <c r="C14" t="s">
        <v>142</v>
      </c>
      <c r="D14" t="s">
        <v>153</v>
      </c>
    </row>
    <row r="15" spans="2:10" x14ac:dyDescent="0.2">
      <c r="C15" t="s">
        <v>143</v>
      </c>
      <c r="D15" t="s">
        <v>154</v>
      </c>
      <c r="G15" s="6" t="s">
        <v>164</v>
      </c>
      <c r="H15" t="s">
        <v>179</v>
      </c>
      <c r="I15" t="s">
        <v>165</v>
      </c>
      <c r="J15">
        <v>100</v>
      </c>
    </row>
    <row r="16" spans="2:10" x14ac:dyDescent="0.2">
      <c r="C16" t="s">
        <v>144</v>
      </c>
      <c r="D16" t="s">
        <v>155</v>
      </c>
      <c r="G16" s="6" t="s">
        <v>166</v>
      </c>
      <c r="H16" t="s">
        <v>180</v>
      </c>
      <c r="I16" t="s">
        <v>165</v>
      </c>
      <c r="J16">
        <v>22</v>
      </c>
    </row>
    <row r="17" spans="1:13" x14ac:dyDescent="0.2">
      <c r="G17" s="6" t="s">
        <v>167</v>
      </c>
      <c r="H17" t="s">
        <v>181</v>
      </c>
      <c r="I17" t="s">
        <v>165</v>
      </c>
      <c r="J17">
        <v>39</v>
      </c>
    </row>
    <row r="18" spans="1:13" x14ac:dyDescent="0.2">
      <c r="G18" s="6" t="s">
        <v>168</v>
      </c>
      <c r="H18" t="s">
        <v>182</v>
      </c>
      <c r="I18" t="s">
        <v>169</v>
      </c>
      <c r="J18">
        <v>0</v>
      </c>
    </row>
    <row r="21" spans="1:13" x14ac:dyDescent="0.2">
      <c r="B21" s="6" t="s">
        <v>200</v>
      </c>
      <c r="C21" s="6"/>
    </row>
    <row r="22" spans="1:13" x14ac:dyDescent="0.2">
      <c r="D22" t="s">
        <v>179</v>
      </c>
      <c r="E22">
        <v>100</v>
      </c>
      <c r="H22" t="s">
        <v>180</v>
      </c>
      <c r="I22">
        <v>22</v>
      </c>
      <c r="L22" t="s">
        <v>181</v>
      </c>
      <c r="M22">
        <v>39</v>
      </c>
    </row>
    <row r="24" spans="1:13" x14ac:dyDescent="0.2">
      <c r="B24" t="s">
        <v>189</v>
      </c>
      <c r="E24" t="s">
        <v>191</v>
      </c>
      <c r="H24" t="s">
        <v>195</v>
      </c>
      <c r="L24" t="s">
        <v>198</v>
      </c>
    </row>
    <row r="25" spans="1:13" x14ac:dyDescent="0.2">
      <c r="E25" t="s">
        <v>193</v>
      </c>
      <c r="F25">
        <v>25</v>
      </c>
      <c r="H25" t="s">
        <v>196</v>
      </c>
      <c r="I25">
        <v>11</v>
      </c>
      <c r="L25" t="s">
        <v>193</v>
      </c>
      <c r="M25">
        <v>13</v>
      </c>
    </row>
    <row r="27" spans="1:13" x14ac:dyDescent="0.2">
      <c r="B27" t="s">
        <v>190</v>
      </c>
      <c r="E27" t="s">
        <v>194</v>
      </c>
      <c r="H27" t="s">
        <v>197</v>
      </c>
      <c r="L27" t="s">
        <v>199</v>
      </c>
    </row>
    <row r="28" spans="1:13" x14ac:dyDescent="0.2">
      <c r="E28" t="s">
        <v>175</v>
      </c>
      <c r="F28">
        <v>10</v>
      </c>
      <c r="H28" t="s">
        <v>178</v>
      </c>
      <c r="I28">
        <v>22</v>
      </c>
      <c r="L28" t="s">
        <v>178</v>
      </c>
      <c r="M28">
        <v>13</v>
      </c>
    </row>
    <row r="30" spans="1:13" x14ac:dyDescent="0.2">
      <c r="A30" t="s">
        <v>193</v>
      </c>
      <c r="B30" s="6" t="s">
        <v>222</v>
      </c>
      <c r="C30" s="6" t="s">
        <v>223</v>
      </c>
    </row>
    <row r="31" spans="1:13" x14ac:dyDescent="0.2">
      <c r="B31" s="13" t="s">
        <v>239</v>
      </c>
      <c r="C31" s="7">
        <f>D7*25+E7*0</f>
        <v>1500</v>
      </c>
      <c r="D31" s="6" t="s">
        <v>245</v>
      </c>
      <c r="H31" t="s">
        <v>256</v>
      </c>
    </row>
    <row r="32" spans="1:13" x14ac:dyDescent="0.2">
      <c r="B32" t="s">
        <v>240</v>
      </c>
      <c r="C32" s="7">
        <f>D7*11+E7*0</f>
        <v>660</v>
      </c>
    </row>
    <row r="33" spans="1:11" x14ac:dyDescent="0.2">
      <c r="B33" t="s">
        <v>241</v>
      </c>
      <c r="C33" s="7">
        <f>D7*13+E7*0</f>
        <v>780</v>
      </c>
      <c r="D33">
        <v>1</v>
      </c>
      <c r="E33" t="s">
        <v>246</v>
      </c>
      <c r="F33">
        <v>100</v>
      </c>
      <c r="H33">
        <v>1</v>
      </c>
      <c r="I33" t="s">
        <v>257</v>
      </c>
      <c r="J33" t="s">
        <v>165</v>
      </c>
      <c r="K33">
        <v>22</v>
      </c>
    </row>
    <row r="34" spans="1:11" x14ac:dyDescent="0.2">
      <c r="E34" t="s">
        <v>248</v>
      </c>
      <c r="F34">
        <v>39</v>
      </c>
      <c r="I34" t="s">
        <v>247</v>
      </c>
      <c r="J34" t="s">
        <v>165</v>
      </c>
      <c r="K34">
        <v>39</v>
      </c>
    </row>
    <row r="35" spans="1:11" x14ac:dyDescent="0.2">
      <c r="A35" t="s">
        <v>178</v>
      </c>
    </row>
    <row r="36" spans="1:11" x14ac:dyDescent="0.2">
      <c r="B36" t="s">
        <v>242</v>
      </c>
      <c r="C36" s="7">
        <f>D7*0+E7*10</f>
        <v>500</v>
      </c>
      <c r="D36">
        <v>2</v>
      </c>
      <c r="E36" t="s">
        <v>249</v>
      </c>
      <c r="I36" t="s">
        <v>249</v>
      </c>
    </row>
    <row r="37" spans="1:11" x14ac:dyDescent="0.2">
      <c r="B37" t="s">
        <v>243</v>
      </c>
      <c r="C37" s="7">
        <f>D7*0+E7*22</f>
        <v>1100</v>
      </c>
      <c r="E37" t="s">
        <v>250</v>
      </c>
      <c r="I37" t="s">
        <v>258</v>
      </c>
      <c r="J37">
        <v>66</v>
      </c>
    </row>
    <row r="38" spans="1:11" x14ac:dyDescent="0.2">
      <c r="B38" t="s">
        <v>241</v>
      </c>
      <c r="C38" s="7">
        <f>D7*0+E7*13</f>
        <v>650</v>
      </c>
      <c r="I38" t="s">
        <v>259</v>
      </c>
      <c r="J38">
        <v>39</v>
      </c>
    </row>
    <row r="39" spans="1:11" x14ac:dyDescent="0.2">
      <c r="D39">
        <v>3</v>
      </c>
      <c r="E39" t="s">
        <v>252</v>
      </c>
      <c r="F39">
        <v>300</v>
      </c>
    </row>
    <row r="40" spans="1:11" x14ac:dyDescent="0.2">
      <c r="E40" t="s">
        <v>251</v>
      </c>
      <c r="F40">
        <v>156</v>
      </c>
      <c r="I40" t="s">
        <v>260</v>
      </c>
    </row>
    <row r="41" spans="1:11" x14ac:dyDescent="0.2">
      <c r="B41" t="s">
        <v>244</v>
      </c>
      <c r="I41" t="s">
        <v>261</v>
      </c>
    </row>
    <row r="42" spans="1:11" x14ac:dyDescent="0.2">
      <c r="E42" t="s">
        <v>253</v>
      </c>
    </row>
    <row r="43" spans="1:11" x14ac:dyDescent="0.2">
      <c r="B43" t="s">
        <v>262</v>
      </c>
      <c r="C43" s="7">
        <f>D7*5+E7*8</f>
        <v>700</v>
      </c>
      <c r="E43" t="s">
        <v>254</v>
      </c>
    </row>
    <row r="44" spans="1:11" x14ac:dyDescent="0.2">
      <c r="B44" t="s">
        <v>263</v>
      </c>
      <c r="C44" s="7">
        <f>D7*9+E7*4</f>
        <v>740</v>
      </c>
      <c r="E44" t="s">
        <v>255</v>
      </c>
    </row>
    <row r="45" spans="1:11" s="1" customFormat="1" x14ac:dyDescent="0.2"/>
    <row r="46" spans="1:11" x14ac:dyDescent="0.2">
      <c r="B46" s="6" t="s">
        <v>136</v>
      </c>
      <c r="C46" s="6"/>
    </row>
    <row r="47" spans="1:11" x14ac:dyDescent="0.2">
      <c r="E47" s="6" t="s">
        <v>173</v>
      </c>
      <c r="F47" s="6" t="s">
        <v>174</v>
      </c>
      <c r="H47" s="6" t="s">
        <v>157</v>
      </c>
    </row>
    <row r="48" spans="1:11" x14ac:dyDescent="0.2">
      <c r="D48" t="s">
        <v>170</v>
      </c>
      <c r="E48" s="8">
        <v>1.5</v>
      </c>
      <c r="F48" s="8">
        <v>1.35</v>
      </c>
      <c r="H48" t="s">
        <v>177</v>
      </c>
      <c r="I48" t="s">
        <v>184</v>
      </c>
    </row>
    <row r="49" spans="2:11" x14ac:dyDescent="0.2">
      <c r="D49" t="s">
        <v>171</v>
      </c>
      <c r="E49" t="s">
        <v>185</v>
      </c>
      <c r="F49" t="s">
        <v>214</v>
      </c>
      <c r="H49" t="s">
        <v>178</v>
      </c>
      <c r="I49" t="s">
        <v>183</v>
      </c>
    </row>
    <row r="50" spans="2:11" x14ac:dyDescent="0.2">
      <c r="D50" t="s">
        <v>172</v>
      </c>
      <c r="E50" t="s">
        <v>186</v>
      </c>
      <c r="F50" t="s">
        <v>215</v>
      </c>
      <c r="H50" s="6"/>
    </row>
    <row r="53" spans="2:11" x14ac:dyDescent="0.2">
      <c r="B53" s="6" t="s">
        <v>141</v>
      </c>
      <c r="C53" s="6"/>
    </row>
    <row r="54" spans="2:11" x14ac:dyDescent="0.2">
      <c r="E54" t="s">
        <v>207</v>
      </c>
      <c r="H54" s="6" t="s">
        <v>160</v>
      </c>
    </row>
    <row r="55" spans="2:11" x14ac:dyDescent="0.2">
      <c r="D55" t="s">
        <v>187</v>
      </c>
      <c r="E55">
        <v>100</v>
      </c>
      <c r="F55">
        <f>E55*E58</f>
        <v>1600</v>
      </c>
      <c r="H55" t="s">
        <v>211</v>
      </c>
      <c r="I55" t="s">
        <v>210</v>
      </c>
    </row>
    <row r="56" spans="2:11" x14ac:dyDescent="0.2">
      <c r="D56" t="s">
        <v>188</v>
      </c>
      <c r="E56">
        <v>225</v>
      </c>
      <c r="F56">
        <f>E56*E58</f>
        <v>3600</v>
      </c>
    </row>
    <row r="58" spans="2:11" x14ac:dyDescent="0.2">
      <c r="D58" t="s">
        <v>208</v>
      </c>
      <c r="E58">
        <v>16</v>
      </c>
      <c r="F58" t="s">
        <v>209</v>
      </c>
      <c r="H58" s="6" t="s">
        <v>163</v>
      </c>
    </row>
    <row r="60" spans="2:11" x14ac:dyDescent="0.2">
      <c r="H60" t="s">
        <v>164</v>
      </c>
      <c r="I60" t="s">
        <v>212</v>
      </c>
      <c r="J60" t="s">
        <v>165</v>
      </c>
      <c r="K60">
        <f>F55</f>
        <v>1600</v>
      </c>
    </row>
    <row r="61" spans="2:11" x14ac:dyDescent="0.2">
      <c r="H61" t="s">
        <v>166</v>
      </c>
      <c r="I61" t="s">
        <v>213</v>
      </c>
      <c r="J61" t="s">
        <v>165</v>
      </c>
      <c r="K61">
        <f>F56</f>
        <v>3600</v>
      </c>
    </row>
    <row r="62" spans="2:11" x14ac:dyDescent="0.2">
      <c r="H62" t="s">
        <v>167</v>
      </c>
      <c r="I62" t="s">
        <v>175</v>
      </c>
      <c r="J62" t="s">
        <v>169</v>
      </c>
      <c r="K62">
        <f>100</f>
        <v>100</v>
      </c>
    </row>
    <row r="63" spans="2:11" x14ac:dyDescent="0.2">
      <c r="H63" t="s">
        <v>168</v>
      </c>
      <c r="I63" t="s">
        <v>182</v>
      </c>
      <c r="J63" t="s">
        <v>169</v>
      </c>
      <c r="K63">
        <v>0</v>
      </c>
    </row>
    <row r="65" spans="1:6" x14ac:dyDescent="0.2">
      <c r="A65" s="6" t="s">
        <v>201</v>
      </c>
    </row>
    <row r="66" spans="1:6" x14ac:dyDescent="0.2">
      <c r="B66" s="6" t="s">
        <v>206</v>
      </c>
      <c r="C66" s="6"/>
    </row>
    <row r="67" spans="1:6" x14ac:dyDescent="0.2">
      <c r="D67" t="s">
        <v>217</v>
      </c>
      <c r="E67">
        <v>1600</v>
      </c>
    </row>
    <row r="68" spans="1:6" x14ac:dyDescent="0.2">
      <c r="A68" t="s">
        <v>202</v>
      </c>
      <c r="D68" t="s">
        <v>219</v>
      </c>
    </row>
    <row r="69" spans="1:6" x14ac:dyDescent="0.2">
      <c r="D69" t="s">
        <v>192</v>
      </c>
      <c r="E69">
        <v>200</v>
      </c>
    </row>
    <row r="71" spans="1:6" x14ac:dyDescent="0.2">
      <c r="A71" t="s">
        <v>203</v>
      </c>
      <c r="D71" t="s">
        <v>204</v>
      </c>
    </row>
    <row r="72" spans="1:6" x14ac:dyDescent="0.2">
      <c r="D72" t="s">
        <v>216</v>
      </c>
      <c r="E72">
        <v>400</v>
      </c>
    </row>
    <row r="73" spans="1:6" x14ac:dyDescent="0.2">
      <c r="B73" s="6" t="s">
        <v>205</v>
      </c>
      <c r="C73" s="6"/>
    </row>
    <row r="74" spans="1:6" x14ac:dyDescent="0.2">
      <c r="D74" t="s">
        <v>218</v>
      </c>
      <c r="E74">
        <v>3600</v>
      </c>
      <c r="F74">
        <v>9</v>
      </c>
    </row>
    <row r="76" spans="1:6" x14ac:dyDescent="0.2">
      <c r="A76" t="s">
        <v>202</v>
      </c>
      <c r="D76" t="s">
        <v>220</v>
      </c>
    </row>
    <row r="77" spans="1:6" x14ac:dyDescent="0.2">
      <c r="D77" t="s">
        <v>192</v>
      </c>
      <c r="E77">
        <f>E74/F74</f>
        <v>400</v>
      </c>
    </row>
    <row r="79" spans="1:6" x14ac:dyDescent="0.2">
      <c r="A79" t="s">
        <v>203</v>
      </c>
      <c r="D79" t="s">
        <v>221</v>
      </c>
      <c r="E79">
        <v>3600</v>
      </c>
      <c r="F79">
        <v>12</v>
      </c>
    </row>
    <row r="80" spans="1:6" x14ac:dyDescent="0.2">
      <c r="D80" t="s">
        <v>216</v>
      </c>
      <c r="E80">
        <f>E79/F79</f>
        <v>300</v>
      </c>
    </row>
    <row r="82" spans="1:8" x14ac:dyDescent="0.2">
      <c r="A82" s="6" t="s">
        <v>222</v>
      </c>
      <c r="B82" s="6" t="s">
        <v>223</v>
      </c>
      <c r="C82" s="6"/>
      <c r="D82" s="6"/>
    </row>
    <row r="83" spans="1:8" x14ac:dyDescent="0.2">
      <c r="F83" t="s">
        <v>225</v>
      </c>
    </row>
    <row r="84" spans="1:8" x14ac:dyDescent="0.2">
      <c r="A84" t="s">
        <v>224</v>
      </c>
      <c r="B84" s="8">
        <f>E48*0+F48*100</f>
        <v>135</v>
      </c>
      <c r="C84" s="8"/>
      <c r="F84" s="6" t="s">
        <v>226</v>
      </c>
      <c r="G84" t="s">
        <v>227</v>
      </c>
      <c r="H84">
        <v>1600</v>
      </c>
    </row>
    <row r="85" spans="1:8" x14ac:dyDescent="0.2">
      <c r="A85" s="9" t="s">
        <v>228</v>
      </c>
      <c r="B85" s="8">
        <f>E48*150+F48*100</f>
        <v>360</v>
      </c>
      <c r="C85" s="8"/>
      <c r="G85" t="s">
        <v>192</v>
      </c>
      <c r="H85">
        <v>150</v>
      </c>
    </row>
    <row r="86" spans="1:8" x14ac:dyDescent="0.2">
      <c r="A86" s="1" t="s">
        <v>237</v>
      </c>
      <c r="B86" s="12">
        <f>E48*80+F48*240</f>
        <v>444</v>
      </c>
      <c r="C86" s="12"/>
      <c r="D86" s="1" t="s">
        <v>238</v>
      </c>
      <c r="E86" s="1"/>
    </row>
    <row r="87" spans="1:8" x14ac:dyDescent="0.2">
      <c r="A87" s="6"/>
      <c r="F87" s="6" t="s">
        <v>229</v>
      </c>
    </row>
    <row r="89" spans="1:8" x14ac:dyDescent="0.2">
      <c r="A89" s="6"/>
      <c r="B89" s="10"/>
      <c r="C89" s="10"/>
      <c r="D89" s="11"/>
      <c r="F89" s="6">
        <v>1</v>
      </c>
      <c r="G89" s="10" t="s">
        <v>231</v>
      </c>
      <c r="H89" s="11">
        <f>1600*3</f>
        <v>4800</v>
      </c>
    </row>
    <row r="90" spans="1:8" x14ac:dyDescent="0.2">
      <c r="A90" s="6"/>
      <c r="B90" s="10"/>
      <c r="C90" s="10"/>
      <c r="D90" s="11"/>
      <c r="F90" s="6"/>
      <c r="G90" s="10" t="s">
        <v>230</v>
      </c>
      <c r="H90" s="11">
        <v>3600</v>
      </c>
    </row>
    <row r="91" spans="1:8" x14ac:dyDescent="0.2">
      <c r="A91" s="6"/>
      <c r="F91" s="6"/>
    </row>
    <row r="92" spans="1:8" x14ac:dyDescent="0.2">
      <c r="A92" s="6"/>
      <c r="F92" s="6">
        <v>2</v>
      </c>
      <c r="G92" t="s">
        <v>232</v>
      </c>
    </row>
    <row r="93" spans="1:8" x14ac:dyDescent="0.2">
      <c r="A93" s="6"/>
      <c r="F93" s="6"/>
      <c r="G93" t="s">
        <v>233</v>
      </c>
    </row>
    <row r="94" spans="1:8" x14ac:dyDescent="0.2">
      <c r="A94" s="6"/>
      <c r="F94" s="6"/>
    </row>
    <row r="95" spans="1:8" x14ac:dyDescent="0.2">
      <c r="A95" s="6"/>
      <c r="F95" s="6">
        <v>3</v>
      </c>
      <c r="G95" t="s">
        <v>234</v>
      </c>
    </row>
    <row r="96" spans="1:8" x14ac:dyDescent="0.2">
      <c r="G96" t="s">
        <v>235</v>
      </c>
    </row>
    <row r="97" spans="1:7" x14ac:dyDescent="0.2">
      <c r="G97" t="s">
        <v>236</v>
      </c>
    </row>
    <row r="98" spans="1:7" s="1" customFormat="1" x14ac:dyDescent="0.2"/>
    <row r="99" spans="1:7" x14ac:dyDescent="0.2">
      <c r="B99" s="8"/>
      <c r="C99" s="8"/>
    </row>
    <row r="100" spans="1:7" x14ac:dyDescent="0.2">
      <c r="A100" s="9"/>
      <c r="B100" s="8"/>
      <c r="C100" s="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9DA9-F436-8E4E-854C-FD6D08489EFF}">
  <dimension ref="A1:Q205"/>
  <sheetViews>
    <sheetView zoomScale="118" workbookViewId="0">
      <selection activeCell="G20" sqref="G20"/>
    </sheetView>
  </sheetViews>
  <sheetFormatPr baseColWidth="10" defaultRowHeight="16" x14ac:dyDescent="0.2"/>
  <cols>
    <col min="1" max="1" width="14.1640625" bestFit="1" customWidth="1"/>
    <col min="2" max="2" width="16.5" bestFit="1" customWidth="1"/>
    <col min="3" max="3" width="17.83203125" bestFit="1" customWidth="1"/>
  </cols>
  <sheetData>
    <row r="1" spans="1:16" x14ac:dyDescent="0.2">
      <c r="A1" s="6" t="s">
        <v>264</v>
      </c>
    </row>
    <row r="2" spans="1:16" ht="19" x14ac:dyDescent="0.25">
      <c r="D2" s="14" t="s">
        <v>269</v>
      </c>
      <c r="N2" s="14" t="s">
        <v>270</v>
      </c>
    </row>
    <row r="3" spans="1:16" x14ac:dyDescent="0.2">
      <c r="B3">
        <v>1</v>
      </c>
      <c r="C3">
        <v>2</v>
      </c>
      <c r="D3">
        <v>3</v>
      </c>
      <c r="E3">
        <v>4</v>
      </c>
      <c r="M3" s="6" t="s">
        <v>271</v>
      </c>
      <c r="N3" s="6" t="s">
        <v>272</v>
      </c>
      <c r="O3" s="6" t="s">
        <v>273</v>
      </c>
      <c r="P3" s="15" t="s">
        <v>274</v>
      </c>
    </row>
    <row r="4" spans="1:16" x14ac:dyDescent="0.2">
      <c r="B4">
        <v>5.9</v>
      </c>
      <c r="C4">
        <v>6.1</v>
      </c>
      <c r="D4">
        <v>5.8</v>
      </c>
      <c r="E4">
        <v>6.3</v>
      </c>
      <c r="G4" t="s">
        <v>265</v>
      </c>
      <c r="H4" t="s">
        <v>266</v>
      </c>
      <c r="I4">
        <v>4</v>
      </c>
      <c r="M4">
        <v>5.9</v>
      </c>
      <c r="N4">
        <v>6.0250000000000004</v>
      </c>
      <c r="O4">
        <f>M4-N4</f>
        <v>-0.125</v>
      </c>
      <c r="P4">
        <f>O4*O4</f>
        <v>1.5625E-2</v>
      </c>
    </row>
    <row r="5" spans="1:16" x14ac:dyDescent="0.2">
      <c r="B5">
        <v>5.9</v>
      </c>
      <c r="C5">
        <v>6</v>
      </c>
      <c r="D5">
        <v>5.9</v>
      </c>
      <c r="E5">
        <v>6.3</v>
      </c>
      <c r="M5">
        <v>5.9</v>
      </c>
      <c r="N5">
        <v>6.0250000000000004</v>
      </c>
      <c r="O5">
        <f t="shared" ref="O5:O19" si="0">M5-N5</f>
        <v>-0.125</v>
      </c>
      <c r="P5">
        <f>O5*O5</f>
        <v>1.5625E-2</v>
      </c>
    </row>
    <row r="6" spans="1:16" x14ac:dyDescent="0.2">
      <c r="B6">
        <v>5.7</v>
      </c>
      <c r="C6">
        <v>6.1</v>
      </c>
      <c r="D6">
        <v>5.9</v>
      </c>
      <c r="E6">
        <v>5.7</v>
      </c>
      <c r="M6">
        <v>5.7</v>
      </c>
      <c r="N6">
        <v>6.0250000000000004</v>
      </c>
      <c r="O6">
        <f t="shared" si="0"/>
        <v>-0.32500000000000018</v>
      </c>
      <c r="P6">
        <f t="shared" ref="P6:P19" si="1">O6^2</f>
        <v>0.10562500000000012</v>
      </c>
    </row>
    <row r="7" spans="1:16" x14ac:dyDescent="0.2">
      <c r="B7">
        <v>6.2</v>
      </c>
      <c r="C7">
        <v>6.2</v>
      </c>
      <c r="D7">
        <v>6.3</v>
      </c>
      <c r="E7">
        <v>6.1</v>
      </c>
      <c r="G7" t="s">
        <v>281</v>
      </c>
      <c r="M7">
        <v>6.2</v>
      </c>
      <c r="N7">
        <v>6.0250000000000004</v>
      </c>
      <c r="O7">
        <f t="shared" si="0"/>
        <v>0.17499999999999982</v>
      </c>
      <c r="P7">
        <f t="shared" si="1"/>
        <v>3.0624999999999937E-2</v>
      </c>
    </row>
    <row r="8" spans="1:16" x14ac:dyDescent="0.2">
      <c r="A8" t="s">
        <v>267</v>
      </c>
      <c r="B8">
        <f>AVERAGE(B4:B7)</f>
        <v>5.9249999999999998</v>
      </c>
      <c r="C8">
        <f>AVERAGE(C4:C7)</f>
        <v>6.1</v>
      </c>
      <c r="D8">
        <f>AVERAGE(D4:D7)</f>
        <v>5.9750000000000005</v>
      </c>
      <c r="E8">
        <f>AVERAGE(E4:E7)</f>
        <v>6.1</v>
      </c>
      <c r="F8">
        <f>SUM(B8:E8)</f>
        <v>24.1</v>
      </c>
      <c r="G8">
        <f>F8/4</f>
        <v>6.0250000000000004</v>
      </c>
      <c r="M8">
        <v>6.1</v>
      </c>
      <c r="N8">
        <v>6.0250000000000004</v>
      </c>
      <c r="O8">
        <f t="shared" si="0"/>
        <v>7.4999999999999289E-2</v>
      </c>
      <c r="P8">
        <f t="shared" si="1"/>
        <v>5.6249999999998931E-3</v>
      </c>
    </row>
    <row r="9" spans="1:16" x14ac:dyDescent="0.2">
      <c r="A9" t="s">
        <v>268</v>
      </c>
      <c r="B9">
        <f>MAX(B4:B7)-MIN(B4:B7)</f>
        <v>0.5</v>
      </c>
      <c r="C9">
        <f>MAX(C4:C7)-MIN(C4:C7)</f>
        <v>0.20000000000000018</v>
      </c>
      <c r="D9">
        <f>MAX(D4:D7)-MIN(D4:D7)</f>
        <v>0.5</v>
      </c>
      <c r="E9">
        <f>MAX(E4:E7)-MIN(E4:E7)</f>
        <v>0.59999999999999964</v>
      </c>
      <c r="M9">
        <v>6</v>
      </c>
      <c r="N9">
        <v>6.0250000000000004</v>
      </c>
      <c r="O9">
        <f t="shared" si="0"/>
        <v>-2.5000000000000355E-2</v>
      </c>
      <c r="P9">
        <f t="shared" si="1"/>
        <v>6.2500000000001779E-4</v>
      </c>
    </row>
    <row r="10" spans="1:16" x14ac:dyDescent="0.2">
      <c r="M10">
        <v>6.1</v>
      </c>
      <c r="N10">
        <v>6.0250000000000004</v>
      </c>
      <c r="O10">
        <f t="shared" si="0"/>
        <v>7.4999999999999289E-2</v>
      </c>
      <c r="P10">
        <f t="shared" si="1"/>
        <v>5.6249999999998931E-3</v>
      </c>
    </row>
    <row r="11" spans="1:16" x14ac:dyDescent="0.2">
      <c r="M11">
        <v>6.2</v>
      </c>
      <c r="N11">
        <v>6.0250000000000004</v>
      </c>
      <c r="O11">
        <f t="shared" si="0"/>
        <v>0.17499999999999982</v>
      </c>
      <c r="P11">
        <f t="shared" si="1"/>
        <v>3.0624999999999937E-2</v>
      </c>
    </row>
    <row r="12" spans="1:16" x14ac:dyDescent="0.2">
      <c r="M12">
        <v>5.8</v>
      </c>
      <c r="N12">
        <v>6.0250000000000004</v>
      </c>
      <c r="O12">
        <f t="shared" si="0"/>
        <v>-0.22500000000000053</v>
      </c>
      <c r="P12">
        <f t="shared" si="1"/>
        <v>5.0625000000000239E-2</v>
      </c>
    </row>
    <row r="13" spans="1:16" x14ac:dyDescent="0.2">
      <c r="D13" t="s">
        <v>279</v>
      </c>
      <c r="E13">
        <f>G8+3*P29</f>
        <v>6.3324085229787883</v>
      </c>
      <c r="M13">
        <v>5.9</v>
      </c>
      <c r="N13">
        <v>6.0250000000000004</v>
      </c>
      <c r="O13">
        <f t="shared" si="0"/>
        <v>-0.125</v>
      </c>
      <c r="P13">
        <f t="shared" si="1"/>
        <v>1.5625E-2</v>
      </c>
    </row>
    <row r="14" spans="1:16" x14ac:dyDescent="0.2">
      <c r="D14" t="s">
        <v>280</v>
      </c>
      <c r="E14">
        <f>G8-3*P29</f>
        <v>5.7175914770212124</v>
      </c>
      <c r="M14">
        <v>5.9</v>
      </c>
      <c r="N14">
        <v>6.0250000000000004</v>
      </c>
      <c r="O14">
        <f t="shared" si="0"/>
        <v>-0.125</v>
      </c>
      <c r="P14">
        <f t="shared" si="1"/>
        <v>1.5625E-2</v>
      </c>
    </row>
    <row r="15" spans="1:16" x14ac:dyDescent="0.2">
      <c r="M15">
        <v>6.3</v>
      </c>
      <c r="N15">
        <v>6.0250000000000004</v>
      </c>
      <c r="O15">
        <f t="shared" si="0"/>
        <v>0.27499999999999947</v>
      </c>
      <c r="P15">
        <f t="shared" si="1"/>
        <v>7.5624999999999706E-2</v>
      </c>
    </row>
    <row r="16" spans="1:16" x14ac:dyDescent="0.2">
      <c r="M16">
        <v>6.3</v>
      </c>
      <c r="N16">
        <v>6.0250000000000004</v>
      </c>
      <c r="O16">
        <f t="shared" si="0"/>
        <v>0.27499999999999947</v>
      </c>
      <c r="P16">
        <f t="shared" si="1"/>
        <v>7.5624999999999706E-2</v>
      </c>
    </row>
    <row r="17" spans="4:17" x14ac:dyDescent="0.2">
      <c r="M17">
        <v>6.3</v>
      </c>
      <c r="N17">
        <v>6.0250000000000004</v>
      </c>
      <c r="O17">
        <f t="shared" si="0"/>
        <v>0.27499999999999947</v>
      </c>
      <c r="P17">
        <f t="shared" si="1"/>
        <v>7.5624999999999706E-2</v>
      </c>
    </row>
    <row r="18" spans="4:17" x14ac:dyDescent="0.2">
      <c r="M18">
        <v>5.7</v>
      </c>
      <c r="N18">
        <v>6.0250000000000004</v>
      </c>
      <c r="O18">
        <f t="shared" si="0"/>
        <v>-0.32500000000000018</v>
      </c>
      <c r="P18">
        <f t="shared" si="1"/>
        <v>0.10562500000000012</v>
      </c>
    </row>
    <row r="19" spans="4:17" x14ac:dyDescent="0.2">
      <c r="M19">
        <v>6.1</v>
      </c>
      <c r="N19">
        <v>6.0250000000000004</v>
      </c>
      <c r="O19">
        <f t="shared" si="0"/>
        <v>7.4999999999999289E-2</v>
      </c>
      <c r="P19">
        <f t="shared" si="1"/>
        <v>5.6249999999998931E-3</v>
      </c>
    </row>
    <row r="21" spans="4:17" x14ac:dyDescent="0.2">
      <c r="P21">
        <f>SUM(P4:P20)</f>
        <v>0.62999999999999912</v>
      </c>
    </row>
    <row r="23" spans="4:17" x14ac:dyDescent="0.2">
      <c r="E23">
        <v>20.399999999999999</v>
      </c>
      <c r="N23" t="s">
        <v>275</v>
      </c>
      <c r="O23">
        <v>16</v>
      </c>
    </row>
    <row r="24" spans="4:17" x14ac:dyDescent="0.2">
      <c r="F24">
        <v>0.3</v>
      </c>
      <c r="N24" t="s">
        <v>275</v>
      </c>
      <c r="O24">
        <f>O23-1</f>
        <v>15</v>
      </c>
    </row>
    <row r="26" spans="4:17" x14ac:dyDescent="0.2">
      <c r="D26" t="s">
        <v>279</v>
      </c>
      <c r="E26">
        <f>E23+F24/SQRT(5)</f>
        <v>20.534164078649987</v>
      </c>
      <c r="P26">
        <f>P21/O24</f>
        <v>4.199999999999994E-2</v>
      </c>
    </row>
    <row r="27" spans="4:17" x14ac:dyDescent="0.2">
      <c r="D27" t="s">
        <v>280</v>
      </c>
      <c r="E27">
        <f>E23-F24/SQRT(5)</f>
        <v>20.265835921350011</v>
      </c>
      <c r="O27" t="s">
        <v>276</v>
      </c>
      <c r="P27">
        <f>SQRT(P26)</f>
        <v>0.20493901531919181</v>
      </c>
    </row>
    <row r="28" spans="4:17" x14ac:dyDescent="0.2">
      <c r="M28" t="s">
        <v>266</v>
      </c>
      <c r="N28">
        <v>4</v>
      </c>
      <c r="O28" t="s">
        <v>278</v>
      </c>
      <c r="P28" t="s">
        <v>277</v>
      </c>
    </row>
    <row r="29" spans="4:17" x14ac:dyDescent="0.2">
      <c r="O29" t="s">
        <v>278</v>
      </c>
      <c r="P29">
        <f>P27/SQRT(N28)</f>
        <v>0.10246950765959591</v>
      </c>
      <c r="Q29" t="s">
        <v>270</v>
      </c>
    </row>
    <row r="31" spans="4:17" s="1" customFormat="1" x14ac:dyDescent="0.2"/>
    <row r="33" spans="1:15" ht="19" x14ac:dyDescent="0.25">
      <c r="A33" s="16" t="s">
        <v>282</v>
      </c>
    </row>
    <row r="35" spans="1:15" x14ac:dyDescent="0.2">
      <c r="E35" t="s">
        <v>269</v>
      </c>
      <c r="L35" s="6"/>
      <c r="M35" s="6"/>
      <c r="N35" s="6"/>
      <c r="O35" s="15"/>
    </row>
    <row r="36" spans="1:15" x14ac:dyDescent="0.2">
      <c r="B36" t="s">
        <v>283</v>
      </c>
      <c r="C36">
        <v>1</v>
      </c>
      <c r="D36">
        <v>2</v>
      </c>
      <c r="E36">
        <v>3</v>
      </c>
      <c r="G36" t="s">
        <v>266</v>
      </c>
      <c r="H36">
        <v>4</v>
      </c>
    </row>
    <row r="37" spans="1:15" x14ac:dyDescent="0.2">
      <c r="B37">
        <v>1</v>
      </c>
      <c r="C37">
        <v>18.2</v>
      </c>
      <c r="D37">
        <v>20.100000000000001</v>
      </c>
      <c r="E37">
        <v>16.399999999999999</v>
      </c>
    </row>
    <row r="38" spans="1:15" x14ac:dyDescent="0.2">
      <c r="B38">
        <v>2</v>
      </c>
      <c r="C38">
        <v>19.3</v>
      </c>
      <c r="D38">
        <v>19.100000000000001</v>
      </c>
      <c r="E38">
        <v>18.5</v>
      </c>
      <c r="G38" t="s">
        <v>286</v>
      </c>
      <c r="H38">
        <v>0.2</v>
      </c>
      <c r="I38" t="s">
        <v>209</v>
      </c>
    </row>
    <row r="39" spans="1:15" x14ac:dyDescent="0.2">
      <c r="B39">
        <v>3</v>
      </c>
      <c r="C39">
        <v>20.3</v>
      </c>
      <c r="D39">
        <v>18.399999999999999</v>
      </c>
      <c r="E39">
        <v>22.6</v>
      </c>
    </row>
    <row r="40" spans="1:15" x14ac:dyDescent="0.2">
      <c r="B40">
        <v>4</v>
      </c>
      <c r="C40">
        <v>18.5</v>
      </c>
      <c r="D40">
        <v>22.5</v>
      </c>
      <c r="E40">
        <v>20</v>
      </c>
    </row>
    <row r="41" spans="1:15" x14ac:dyDescent="0.2">
      <c r="B41" t="s">
        <v>284</v>
      </c>
      <c r="C41">
        <v>19.079999999999998</v>
      </c>
      <c r="D41">
        <v>20.03</v>
      </c>
      <c r="E41">
        <v>19.38</v>
      </c>
    </row>
    <row r="44" spans="1:15" x14ac:dyDescent="0.2">
      <c r="B44" t="s">
        <v>285</v>
      </c>
      <c r="C44">
        <f>AVERAGE(C41:E41)</f>
        <v>19.496666666666666</v>
      </c>
    </row>
    <row r="45" spans="1:15" x14ac:dyDescent="0.2">
      <c r="B45" t="s">
        <v>279</v>
      </c>
      <c r="C45">
        <f>C44+3*H38/SQRT(4)</f>
        <v>19.796666666666667</v>
      </c>
    </row>
    <row r="46" spans="1:15" x14ac:dyDescent="0.2">
      <c r="B46" t="s">
        <v>280</v>
      </c>
      <c r="C46">
        <f>C44-3*H38/SQRT(4)</f>
        <v>19.196666666666665</v>
      </c>
    </row>
    <row r="48" spans="1:15" s="1" customFormat="1" x14ac:dyDescent="0.2"/>
    <row r="49" spans="1:7" x14ac:dyDescent="0.2">
      <c r="A49" s="6" t="s">
        <v>287</v>
      </c>
    </row>
    <row r="51" spans="1:7" x14ac:dyDescent="0.2">
      <c r="B51" t="s">
        <v>288</v>
      </c>
      <c r="C51" t="s">
        <v>290</v>
      </c>
      <c r="D51" t="s">
        <v>289</v>
      </c>
    </row>
    <row r="52" spans="1:7" x14ac:dyDescent="0.2">
      <c r="B52">
        <v>1</v>
      </c>
      <c r="C52">
        <v>12</v>
      </c>
      <c r="D52">
        <v>0.6</v>
      </c>
    </row>
    <row r="53" spans="1:7" x14ac:dyDescent="0.2">
      <c r="B53">
        <v>2</v>
      </c>
      <c r="C53">
        <v>11.2</v>
      </c>
      <c r="D53">
        <v>0.5</v>
      </c>
      <c r="F53" t="s">
        <v>91</v>
      </c>
      <c r="G53">
        <v>6</v>
      </c>
    </row>
    <row r="54" spans="1:7" x14ac:dyDescent="0.2">
      <c r="B54">
        <v>3</v>
      </c>
      <c r="C54">
        <v>12.7</v>
      </c>
      <c r="D54">
        <v>0.5</v>
      </c>
      <c r="F54" t="s">
        <v>291</v>
      </c>
      <c r="G54">
        <v>5</v>
      </c>
    </row>
    <row r="55" spans="1:7" x14ac:dyDescent="0.2">
      <c r="B55">
        <v>4</v>
      </c>
      <c r="C55">
        <v>11.3</v>
      </c>
      <c r="D55">
        <v>0.4</v>
      </c>
    </row>
    <row r="56" spans="1:7" x14ac:dyDescent="0.2">
      <c r="B56">
        <v>5</v>
      </c>
      <c r="C56">
        <v>11.7</v>
      </c>
      <c r="D56">
        <v>0.8</v>
      </c>
    </row>
    <row r="57" spans="1:7" x14ac:dyDescent="0.2">
      <c r="F57" t="s">
        <v>292</v>
      </c>
      <c r="G57">
        <v>0.48</v>
      </c>
    </row>
    <row r="58" spans="1:7" x14ac:dyDescent="0.2">
      <c r="F58" t="s">
        <v>293</v>
      </c>
      <c r="G58">
        <v>0</v>
      </c>
    </row>
    <row r="59" spans="1:7" x14ac:dyDescent="0.2">
      <c r="B59" t="s">
        <v>296</v>
      </c>
      <c r="C59">
        <v>12</v>
      </c>
      <c r="F59" t="s">
        <v>294</v>
      </c>
      <c r="G59">
        <v>2.004</v>
      </c>
    </row>
    <row r="60" spans="1:7" x14ac:dyDescent="0.2">
      <c r="B60" t="s">
        <v>297</v>
      </c>
      <c r="C60">
        <v>0.5</v>
      </c>
    </row>
    <row r="63" spans="1:7" x14ac:dyDescent="0.2">
      <c r="B63" t="s">
        <v>298</v>
      </c>
    </row>
    <row r="64" spans="1:7" x14ac:dyDescent="0.2">
      <c r="C64" t="s">
        <v>285</v>
      </c>
      <c r="D64">
        <f>C59</f>
        <v>12</v>
      </c>
    </row>
    <row r="65" spans="2:11" x14ac:dyDescent="0.2">
      <c r="C65" t="s">
        <v>279</v>
      </c>
      <c r="D65">
        <f>D64+G57*C60</f>
        <v>12.24</v>
      </c>
    </row>
    <row r="66" spans="2:11" x14ac:dyDescent="0.2">
      <c r="C66" t="s">
        <v>280</v>
      </c>
      <c r="D66">
        <f>D64-G57*C60</f>
        <v>11.76</v>
      </c>
    </row>
    <row r="68" spans="2:11" x14ac:dyDescent="0.2">
      <c r="B68" t="s">
        <v>299</v>
      </c>
    </row>
    <row r="69" spans="2:11" x14ac:dyDescent="0.2">
      <c r="C69" t="s">
        <v>285</v>
      </c>
      <c r="D69">
        <f>D64</f>
        <v>12</v>
      </c>
    </row>
    <row r="70" spans="2:11" x14ac:dyDescent="0.2">
      <c r="C70" t="s">
        <v>279</v>
      </c>
      <c r="D70">
        <f>C60*G59</f>
        <v>1.002</v>
      </c>
    </row>
    <row r="71" spans="2:11" x14ac:dyDescent="0.2">
      <c r="C71" t="s">
        <v>280</v>
      </c>
      <c r="D71">
        <f>D69*G58</f>
        <v>0</v>
      </c>
    </row>
    <row r="72" spans="2:11" s="1" customFormat="1" x14ac:dyDescent="0.2"/>
    <row r="75" spans="2:11" x14ac:dyDescent="0.2">
      <c r="B75" t="s">
        <v>300</v>
      </c>
      <c r="C75" t="s">
        <v>301</v>
      </c>
      <c r="E75" t="s">
        <v>302</v>
      </c>
      <c r="H75" t="s">
        <v>303</v>
      </c>
    </row>
    <row r="76" spans="2:11" x14ac:dyDescent="0.2">
      <c r="B76">
        <v>1</v>
      </c>
      <c r="C76">
        <v>3</v>
      </c>
      <c r="E76">
        <v>30</v>
      </c>
      <c r="H76">
        <f>C76/E76</f>
        <v>0.1</v>
      </c>
    </row>
    <row r="77" spans="2:11" x14ac:dyDescent="0.2">
      <c r="B77">
        <v>2</v>
      </c>
      <c r="C77">
        <v>1</v>
      </c>
      <c r="E77">
        <v>30</v>
      </c>
      <c r="H77">
        <f t="shared" ref="H77:H80" si="2">C77/E77</f>
        <v>3.3333333333333333E-2</v>
      </c>
    </row>
    <row r="78" spans="2:11" x14ac:dyDescent="0.2">
      <c r="B78">
        <v>3</v>
      </c>
      <c r="C78">
        <v>0</v>
      </c>
      <c r="E78">
        <v>30</v>
      </c>
      <c r="H78">
        <f t="shared" si="2"/>
        <v>0</v>
      </c>
      <c r="J78" t="s">
        <v>304</v>
      </c>
      <c r="K78">
        <v>3</v>
      </c>
    </row>
    <row r="79" spans="2:11" x14ac:dyDescent="0.2">
      <c r="B79">
        <v>4</v>
      </c>
      <c r="C79">
        <v>3</v>
      </c>
      <c r="E79">
        <v>30</v>
      </c>
      <c r="H79">
        <f t="shared" si="2"/>
        <v>0.1</v>
      </c>
    </row>
    <row r="80" spans="2:11" x14ac:dyDescent="0.2">
      <c r="B80">
        <v>5</v>
      </c>
      <c r="C80">
        <v>0</v>
      </c>
      <c r="E80">
        <v>30</v>
      </c>
      <c r="H80">
        <f t="shared" si="2"/>
        <v>0</v>
      </c>
    </row>
    <row r="81" spans="1:8" x14ac:dyDescent="0.2">
      <c r="A81" t="s">
        <v>94</v>
      </c>
      <c r="C81">
        <v>7</v>
      </c>
      <c r="E81">
        <v>150</v>
      </c>
      <c r="H81">
        <f>C81/E81</f>
        <v>4.6666666666666669E-2</v>
      </c>
    </row>
    <row r="83" spans="1:8" x14ac:dyDescent="0.2">
      <c r="B83" t="s">
        <v>305</v>
      </c>
      <c r="C83">
        <f>C81/E81</f>
        <v>4.6666666666666669E-2</v>
      </c>
    </row>
    <row r="84" spans="1:8" x14ac:dyDescent="0.2">
      <c r="B84" s="17" t="s">
        <v>270</v>
      </c>
      <c r="C84">
        <f>SQRT(C83*(1-C83)/E79)</f>
        <v>3.8509258146099921E-2</v>
      </c>
    </row>
    <row r="86" spans="1:8" x14ac:dyDescent="0.2">
      <c r="B86" t="s">
        <v>279</v>
      </c>
      <c r="C86">
        <f>C83+C84*K78</f>
        <v>0.16219444110496642</v>
      </c>
    </row>
    <row r="87" spans="1:8" x14ac:dyDescent="0.2">
      <c r="B87" t="s">
        <v>306</v>
      </c>
      <c r="C87">
        <f>C83-C84*3</f>
        <v>-6.8861107771633095E-2</v>
      </c>
    </row>
    <row r="89" spans="1:8" s="1" customFormat="1" x14ac:dyDescent="0.2"/>
    <row r="90" spans="1:8" x14ac:dyDescent="0.2">
      <c r="A90" t="s">
        <v>307</v>
      </c>
    </row>
    <row r="91" spans="1:8" x14ac:dyDescent="0.2">
      <c r="B91" t="s">
        <v>300</v>
      </c>
      <c r="C91" t="s">
        <v>308</v>
      </c>
      <c r="E91" t="s">
        <v>302</v>
      </c>
      <c r="H91" t="s">
        <v>303</v>
      </c>
    </row>
    <row r="92" spans="1:8" x14ac:dyDescent="0.2">
      <c r="B92">
        <v>1</v>
      </c>
      <c r="C92">
        <v>0</v>
      </c>
      <c r="E92">
        <v>20</v>
      </c>
      <c r="H92">
        <f>C92/E92</f>
        <v>0</v>
      </c>
    </row>
    <row r="93" spans="1:8" x14ac:dyDescent="0.2">
      <c r="B93">
        <v>2</v>
      </c>
      <c r="C93">
        <v>2</v>
      </c>
      <c r="E93">
        <v>20</v>
      </c>
      <c r="H93">
        <f t="shared" ref="H93:H101" si="3">C93/E93</f>
        <v>0.1</v>
      </c>
    </row>
    <row r="94" spans="1:8" x14ac:dyDescent="0.2">
      <c r="B94">
        <v>3</v>
      </c>
      <c r="C94">
        <v>3</v>
      </c>
      <c r="E94">
        <v>20</v>
      </c>
      <c r="H94">
        <f t="shared" si="3"/>
        <v>0.15</v>
      </c>
    </row>
    <row r="95" spans="1:8" x14ac:dyDescent="0.2">
      <c r="B95">
        <v>4</v>
      </c>
      <c r="C95">
        <v>2</v>
      </c>
      <c r="E95">
        <v>20</v>
      </c>
      <c r="H95">
        <f t="shared" si="3"/>
        <v>0.1</v>
      </c>
    </row>
    <row r="96" spans="1:8" x14ac:dyDescent="0.2">
      <c r="B96">
        <v>5</v>
      </c>
      <c r="C96">
        <v>5</v>
      </c>
      <c r="E96">
        <v>20</v>
      </c>
      <c r="H96">
        <f t="shared" si="3"/>
        <v>0.25</v>
      </c>
    </row>
    <row r="97" spans="1:8" x14ac:dyDescent="0.2">
      <c r="B97">
        <v>6</v>
      </c>
      <c r="C97">
        <v>2</v>
      </c>
      <c r="E97">
        <v>20</v>
      </c>
      <c r="H97">
        <f t="shared" si="3"/>
        <v>0.1</v>
      </c>
    </row>
    <row r="98" spans="1:8" x14ac:dyDescent="0.2">
      <c r="B98">
        <v>7</v>
      </c>
      <c r="C98">
        <v>1</v>
      </c>
      <c r="E98">
        <v>20</v>
      </c>
      <c r="H98">
        <f t="shared" si="3"/>
        <v>0.05</v>
      </c>
    </row>
    <row r="99" spans="1:8" x14ac:dyDescent="0.2">
      <c r="B99">
        <v>8</v>
      </c>
      <c r="C99">
        <v>1</v>
      </c>
      <c r="E99">
        <v>20</v>
      </c>
      <c r="H99">
        <f t="shared" si="3"/>
        <v>0.05</v>
      </c>
    </row>
    <row r="100" spans="1:8" x14ac:dyDescent="0.2">
      <c r="B100">
        <v>9</v>
      </c>
      <c r="C100">
        <v>2</v>
      </c>
      <c r="E100">
        <v>20</v>
      </c>
      <c r="H100">
        <f t="shared" si="3"/>
        <v>0.1</v>
      </c>
    </row>
    <row r="101" spans="1:8" x14ac:dyDescent="0.2">
      <c r="B101">
        <v>10</v>
      </c>
      <c r="C101">
        <v>3</v>
      </c>
      <c r="E101">
        <v>20</v>
      </c>
      <c r="H101">
        <f t="shared" si="3"/>
        <v>0.15</v>
      </c>
    </row>
    <row r="102" spans="1:8" x14ac:dyDescent="0.2">
      <c r="H102">
        <f>AVERAGE(H92:H101)</f>
        <v>0.10500000000000001</v>
      </c>
    </row>
    <row r="103" spans="1:8" x14ac:dyDescent="0.2">
      <c r="A103" t="s">
        <v>309</v>
      </c>
      <c r="C103">
        <f>SUM(C92:C102)</f>
        <v>21</v>
      </c>
    </row>
    <row r="105" spans="1:8" x14ac:dyDescent="0.2">
      <c r="B105" t="s">
        <v>305</v>
      </c>
    </row>
    <row r="106" spans="1:8" x14ac:dyDescent="0.2">
      <c r="B106" t="s">
        <v>270</v>
      </c>
    </row>
    <row r="107" spans="1:8" x14ac:dyDescent="0.2">
      <c r="E107" t="s">
        <v>310</v>
      </c>
      <c r="F107">
        <v>3</v>
      </c>
    </row>
    <row r="108" spans="1:8" x14ac:dyDescent="0.2">
      <c r="B108" t="s">
        <v>279</v>
      </c>
      <c r="D108">
        <f>H102+3*SQRT(H102*(1-H102)/20)</f>
        <v>0.31064228650742043</v>
      </c>
    </row>
    <row r="109" spans="1:8" x14ac:dyDescent="0.2">
      <c r="B109" t="s">
        <v>306</v>
      </c>
      <c r="D109">
        <f>H102-3*SQRT(H102*(1-H102)/20)</f>
        <v>-0.10064228650742044</v>
      </c>
    </row>
    <row r="112" spans="1:8" s="1" customFormat="1" x14ac:dyDescent="0.2"/>
    <row r="113" spans="1:4" x14ac:dyDescent="0.2">
      <c r="A113" t="s">
        <v>311</v>
      </c>
    </row>
    <row r="115" spans="1:4" x14ac:dyDescent="0.2">
      <c r="B115" t="s">
        <v>312</v>
      </c>
      <c r="D115">
        <v>15</v>
      </c>
    </row>
    <row r="117" spans="1:4" x14ac:dyDescent="0.2">
      <c r="B117" t="s">
        <v>67</v>
      </c>
      <c r="C117">
        <v>10</v>
      </c>
    </row>
    <row r="118" spans="1:4" x14ac:dyDescent="0.2">
      <c r="B118" t="s">
        <v>313</v>
      </c>
      <c r="C118">
        <v>3</v>
      </c>
    </row>
    <row r="120" spans="1:4" x14ac:dyDescent="0.2">
      <c r="B120" t="s">
        <v>48</v>
      </c>
      <c r="C120">
        <f>D115/C117</f>
        <v>1.5</v>
      </c>
    </row>
    <row r="121" spans="1:4" x14ac:dyDescent="0.2">
      <c r="B121" t="s">
        <v>279</v>
      </c>
      <c r="C121">
        <f>C120+C118*SQRT(C120)</f>
        <v>5.1742346141747664</v>
      </c>
    </row>
    <row r="122" spans="1:4" x14ac:dyDescent="0.2">
      <c r="B122" t="s">
        <v>280</v>
      </c>
      <c r="C122">
        <f>C120-C118*SQRT(C120)</f>
        <v>-2.1742346141747668</v>
      </c>
    </row>
    <row r="123" spans="1:4" s="1" customFormat="1" x14ac:dyDescent="0.2"/>
    <row r="124" spans="1:4" x14ac:dyDescent="0.2">
      <c r="A124" t="s">
        <v>314</v>
      </c>
    </row>
    <row r="125" spans="1:4" x14ac:dyDescent="0.2">
      <c r="B125" t="s">
        <v>67</v>
      </c>
      <c r="C125" s="17" t="s">
        <v>315</v>
      </c>
    </row>
    <row r="126" spans="1:4" x14ac:dyDescent="0.2">
      <c r="B126">
        <v>1</v>
      </c>
      <c r="C126">
        <v>6</v>
      </c>
    </row>
    <row r="127" spans="1:4" x14ac:dyDescent="0.2">
      <c r="B127">
        <v>2</v>
      </c>
      <c r="C127">
        <v>8</v>
      </c>
    </row>
    <row r="128" spans="1:4" x14ac:dyDescent="0.2">
      <c r="B128">
        <v>3</v>
      </c>
      <c r="C128">
        <v>5</v>
      </c>
    </row>
    <row r="129" spans="1:6" x14ac:dyDescent="0.2">
      <c r="B129">
        <v>4</v>
      </c>
      <c r="C129">
        <v>5</v>
      </c>
    </row>
    <row r="130" spans="1:6" x14ac:dyDescent="0.2">
      <c r="B130">
        <v>5</v>
      </c>
      <c r="C130">
        <v>1</v>
      </c>
    </row>
    <row r="131" spans="1:6" x14ac:dyDescent="0.2">
      <c r="B131">
        <v>6</v>
      </c>
      <c r="C131">
        <v>4</v>
      </c>
    </row>
    <row r="132" spans="1:6" x14ac:dyDescent="0.2">
      <c r="B132">
        <v>7</v>
      </c>
      <c r="C132">
        <v>8</v>
      </c>
    </row>
    <row r="133" spans="1:6" x14ac:dyDescent="0.2">
      <c r="B133">
        <v>8</v>
      </c>
      <c r="C133">
        <v>5</v>
      </c>
    </row>
    <row r="134" spans="1:6" x14ac:dyDescent="0.2">
      <c r="B134">
        <v>9</v>
      </c>
      <c r="C134">
        <v>7</v>
      </c>
      <c r="E134" t="s">
        <v>310</v>
      </c>
      <c r="F134">
        <v>3</v>
      </c>
    </row>
    <row r="135" spans="1:6" x14ac:dyDescent="0.2">
      <c r="B135">
        <v>10</v>
      </c>
      <c r="C135">
        <v>8</v>
      </c>
    </row>
    <row r="136" spans="1:6" x14ac:dyDescent="0.2">
      <c r="B136">
        <v>11</v>
      </c>
      <c r="C136">
        <v>11</v>
      </c>
    </row>
    <row r="137" spans="1:6" x14ac:dyDescent="0.2">
      <c r="B137">
        <v>12</v>
      </c>
      <c r="C137">
        <v>4</v>
      </c>
    </row>
    <row r="139" spans="1:6" x14ac:dyDescent="0.2">
      <c r="A139" t="s">
        <v>316</v>
      </c>
      <c r="C139">
        <v>4.9000000000000004</v>
      </c>
    </row>
    <row r="141" spans="1:6" x14ac:dyDescent="0.2">
      <c r="B141" t="s">
        <v>279</v>
      </c>
      <c r="C141">
        <f>C139+3*SQRT(C139)</f>
        <v>11.540783086353597</v>
      </c>
    </row>
    <row r="142" spans="1:6" x14ac:dyDescent="0.2">
      <c r="B142" t="s">
        <v>280</v>
      </c>
      <c r="C142">
        <f>C139-F134*SQRT(C139)</f>
        <v>-1.7407830863535967</v>
      </c>
    </row>
    <row r="144" spans="1:6" s="1" customFormat="1" x14ac:dyDescent="0.2"/>
    <row r="145" spans="1:14" x14ac:dyDescent="0.2">
      <c r="A145" t="s">
        <v>317</v>
      </c>
    </row>
    <row r="146" spans="1:14" x14ac:dyDescent="0.2">
      <c r="K146" s="6" t="s">
        <v>271</v>
      </c>
      <c r="L146" s="6" t="s">
        <v>272</v>
      </c>
      <c r="M146" s="6" t="s">
        <v>273</v>
      </c>
      <c r="N146" s="15" t="s">
        <v>274</v>
      </c>
    </row>
    <row r="147" spans="1:14" x14ac:dyDescent="0.2">
      <c r="B147" t="s">
        <v>300</v>
      </c>
      <c r="C147">
        <v>1</v>
      </c>
      <c r="D147">
        <v>2</v>
      </c>
      <c r="E147">
        <v>3</v>
      </c>
      <c r="F147">
        <v>4</v>
      </c>
      <c r="G147">
        <v>5</v>
      </c>
      <c r="H147" t="s">
        <v>297</v>
      </c>
      <c r="I147" t="s">
        <v>295</v>
      </c>
      <c r="K147" s="18">
        <v>5.78</v>
      </c>
      <c r="L147" s="18">
        <v>5.9523333333333337</v>
      </c>
      <c r="M147" s="18">
        <f>K147-L147</f>
        <v>-0.17233333333333345</v>
      </c>
      <c r="N147" s="18">
        <f>M147*M147</f>
        <v>2.9698777777777817E-2</v>
      </c>
    </row>
    <row r="148" spans="1:14" x14ac:dyDescent="0.2">
      <c r="B148">
        <v>1</v>
      </c>
      <c r="C148">
        <v>5.78</v>
      </c>
      <c r="D148">
        <v>6.34</v>
      </c>
      <c r="E148">
        <v>6.24</v>
      </c>
      <c r="F148">
        <v>5.23</v>
      </c>
      <c r="G148">
        <v>6.12</v>
      </c>
      <c r="H148">
        <f t="shared" ref="H148:H153" si="4">MAX(C148:G148)-MIN(C148:G148)</f>
        <v>1.1099999999999994</v>
      </c>
      <c r="I148">
        <f t="shared" ref="I148:I153" si="5">AVERAGE(C148:G148)</f>
        <v>5.9420000000000002</v>
      </c>
      <c r="K148" s="18">
        <v>5.89</v>
      </c>
      <c r="L148" s="18">
        <v>5.9523333333333337</v>
      </c>
      <c r="M148" s="18">
        <f t="shared" ref="M148:M176" si="6">K148-L148</f>
        <v>-6.2333333333334018E-2</v>
      </c>
      <c r="N148" s="18">
        <f t="shared" ref="N148:N176" si="7">M148*M148</f>
        <v>3.8854444444445298E-3</v>
      </c>
    </row>
    <row r="149" spans="1:14" x14ac:dyDescent="0.2">
      <c r="B149">
        <v>2</v>
      </c>
      <c r="C149">
        <v>5.89</v>
      </c>
      <c r="D149">
        <v>5.87</v>
      </c>
      <c r="E149">
        <v>6.12</v>
      </c>
      <c r="F149">
        <v>6.21</v>
      </c>
      <c r="G149">
        <v>5.99</v>
      </c>
      <c r="H149">
        <f t="shared" si="4"/>
        <v>0.33999999999999986</v>
      </c>
      <c r="I149">
        <f t="shared" si="5"/>
        <v>6.016</v>
      </c>
      <c r="K149" s="18">
        <v>6.22</v>
      </c>
      <c r="L149" s="18">
        <v>5.9523333333333337</v>
      </c>
      <c r="M149" s="18">
        <f t="shared" si="6"/>
        <v>0.26766666666666605</v>
      </c>
      <c r="N149" s="18">
        <f t="shared" si="7"/>
        <v>7.1645444444444123E-2</v>
      </c>
    </row>
    <row r="150" spans="1:14" x14ac:dyDescent="0.2">
      <c r="B150">
        <v>3</v>
      </c>
      <c r="C150">
        <v>6.22</v>
      </c>
      <c r="D150">
        <v>5.78</v>
      </c>
      <c r="E150">
        <v>5.76</v>
      </c>
      <c r="F150">
        <v>6.02</v>
      </c>
      <c r="G150">
        <v>6.1</v>
      </c>
      <c r="H150">
        <f t="shared" si="4"/>
        <v>0.45999999999999996</v>
      </c>
      <c r="I150">
        <f t="shared" si="5"/>
        <v>5.9759999999999991</v>
      </c>
      <c r="K150" s="18">
        <v>6.02</v>
      </c>
      <c r="L150" s="18">
        <v>5.9523333333333337</v>
      </c>
      <c r="M150" s="18">
        <f t="shared" si="6"/>
        <v>6.7666666666665876E-2</v>
      </c>
      <c r="N150" s="18">
        <f t="shared" si="7"/>
        <v>4.5787777777776704E-3</v>
      </c>
    </row>
    <row r="151" spans="1:14" x14ac:dyDescent="0.2">
      <c r="B151">
        <v>4</v>
      </c>
      <c r="C151">
        <v>6.02</v>
      </c>
      <c r="D151">
        <v>5.56</v>
      </c>
      <c r="E151">
        <v>6.21</v>
      </c>
      <c r="F151">
        <v>6.23</v>
      </c>
      <c r="G151">
        <v>6</v>
      </c>
      <c r="H151">
        <f t="shared" si="4"/>
        <v>0.67000000000000082</v>
      </c>
      <c r="I151">
        <f t="shared" si="5"/>
        <v>6.0039999999999996</v>
      </c>
      <c r="K151" s="18">
        <v>5.77</v>
      </c>
      <c r="L151" s="18">
        <v>5.9523333333333337</v>
      </c>
      <c r="M151" s="18">
        <f t="shared" si="6"/>
        <v>-0.18233333333333412</v>
      </c>
      <c r="N151" s="18">
        <f t="shared" si="7"/>
        <v>3.324544444444473E-2</v>
      </c>
    </row>
    <row r="152" spans="1:14" x14ac:dyDescent="0.2">
      <c r="B152">
        <v>5</v>
      </c>
      <c r="C152">
        <v>5.77</v>
      </c>
      <c r="D152">
        <v>5.76</v>
      </c>
      <c r="E152">
        <v>5.87</v>
      </c>
      <c r="F152">
        <v>5.78</v>
      </c>
      <c r="G152">
        <v>6.03</v>
      </c>
      <c r="H152">
        <f t="shared" si="4"/>
        <v>0.27000000000000046</v>
      </c>
      <c r="I152">
        <f t="shared" si="5"/>
        <v>5.8420000000000005</v>
      </c>
      <c r="K152" s="18">
        <v>6</v>
      </c>
      <c r="L152" s="18">
        <v>5.9523333333333337</v>
      </c>
      <c r="M152" s="18">
        <f t="shared" si="6"/>
        <v>4.7666666666666302E-2</v>
      </c>
      <c r="N152" s="18">
        <f t="shared" si="7"/>
        <v>2.2721111111110763E-3</v>
      </c>
    </row>
    <row r="153" spans="1:14" x14ac:dyDescent="0.2">
      <c r="B153">
        <v>6</v>
      </c>
      <c r="C153">
        <v>6</v>
      </c>
      <c r="D153">
        <v>5.89</v>
      </c>
      <c r="E153">
        <v>6.02</v>
      </c>
      <c r="F153">
        <v>5.98</v>
      </c>
      <c r="G153">
        <v>5.78</v>
      </c>
      <c r="H153">
        <f t="shared" si="4"/>
        <v>0.23999999999999932</v>
      </c>
      <c r="I153">
        <f t="shared" si="5"/>
        <v>5.9340000000000002</v>
      </c>
      <c r="K153" s="18">
        <v>6.34</v>
      </c>
      <c r="L153" s="18">
        <v>5.9523333333333337</v>
      </c>
      <c r="M153" s="18">
        <f t="shared" si="6"/>
        <v>0.38766666666666616</v>
      </c>
      <c r="N153" s="18">
        <f t="shared" si="7"/>
        <v>0.15028544444444406</v>
      </c>
    </row>
    <row r="154" spans="1:14" x14ac:dyDescent="0.2">
      <c r="H154">
        <f>AVERAGE(H148:H153)</f>
        <v>0.51500000000000001</v>
      </c>
      <c r="I154">
        <f>AVERAGE(I148:I153)</f>
        <v>5.9523333333333319</v>
      </c>
      <c r="K154" s="18">
        <v>5.87</v>
      </c>
      <c r="L154" s="18">
        <v>5.9523333333333337</v>
      </c>
      <c r="M154" s="18">
        <f t="shared" si="6"/>
        <v>-8.2333333333333591E-2</v>
      </c>
      <c r="N154" s="18">
        <f t="shared" si="7"/>
        <v>6.7787777777778202E-3</v>
      </c>
    </row>
    <row r="155" spans="1:14" x14ac:dyDescent="0.2">
      <c r="K155" s="18">
        <v>5.78</v>
      </c>
      <c r="L155" s="18">
        <v>5.9523333333333337</v>
      </c>
      <c r="M155" s="18">
        <f t="shared" si="6"/>
        <v>-0.17233333333333345</v>
      </c>
      <c r="N155" s="18">
        <f t="shared" si="7"/>
        <v>2.9698777777777817E-2</v>
      </c>
    </row>
    <row r="156" spans="1:14" x14ac:dyDescent="0.2">
      <c r="K156" s="18">
        <v>5.56</v>
      </c>
      <c r="L156" s="18">
        <v>5.9523333333333337</v>
      </c>
      <c r="M156" s="18">
        <f t="shared" si="6"/>
        <v>-0.39233333333333409</v>
      </c>
      <c r="N156" s="18">
        <f t="shared" si="7"/>
        <v>0.15392544444444503</v>
      </c>
    </row>
    <row r="157" spans="1:14" x14ac:dyDescent="0.2">
      <c r="C157" t="s">
        <v>266</v>
      </c>
      <c r="D157">
        <v>6</v>
      </c>
      <c r="K157" s="18">
        <v>5.76</v>
      </c>
      <c r="L157" s="18">
        <v>5.9523333333333337</v>
      </c>
      <c r="M157" s="18">
        <f t="shared" si="6"/>
        <v>-0.19233333333333391</v>
      </c>
      <c r="N157" s="18">
        <f t="shared" si="7"/>
        <v>3.6992111111111337E-2</v>
      </c>
    </row>
    <row r="158" spans="1:14" x14ac:dyDescent="0.2">
      <c r="C158" t="s">
        <v>318</v>
      </c>
      <c r="D158">
        <f>AVERAGE(C148:G153)</f>
        <v>5.9523333333333328</v>
      </c>
      <c r="K158" s="18">
        <v>5.89</v>
      </c>
      <c r="L158" s="18">
        <v>5.9523333333333337</v>
      </c>
      <c r="M158" s="18">
        <f t="shared" si="6"/>
        <v>-6.2333333333334018E-2</v>
      </c>
      <c r="N158" s="18">
        <f t="shared" si="7"/>
        <v>3.8854444444445298E-3</v>
      </c>
    </row>
    <row r="159" spans="1:14" x14ac:dyDescent="0.2">
      <c r="K159" s="18">
        <v>6.24</v>
      </c>
      <c r="L159" s="18">
        <v>5.9523333333333337</v>
      </c>
      <c r="M159" s="18">
        <f t="shared" si="6"/>
        <v>0.28766666666666652</v>
      </c>
      <c r="N159" s="18">
        <f t="shared" si="7"/>
        <v>8.2752111111111026E-2</v>
      </c>
    </row>
    <row r="160" spans="1:14" x14ac:dyDescent="0.2">
      <c r="K160" s="18">
        <v>6.12</v>
      </c>
      <c r="L160" s="18">
        <v>5.9523333333333337</v>
      </c>
      <c r="M160" s="18">
        <f t="shared" si="6"/>
        <v>0.16766666666666641</v>
      </c>
      <c r="N160" s="18">
        <f t="shared" si="7"/>
        <v>2.8112111111111025E-2</v>
      </c>
    </row>
    <row r="161" spans="1:14" x14ac:dyDescent="0.2">
      <c r="K161" s="18">
        <v>5.76</v>
      </c>
      <c r="L161" s="18">
        <v>5.9523333333333337</v>
      </c>
      <c r="M161" s="18">
        <f t="shared" si="6"/>
        <v>-0.19233333333333391</v>
      </c>
      <c r="N161" s="18">
        <f t="shared" si="7"/>
        <v>3.6992111111111337E-2</v>
      </c>
    </row>
    <row r="162" spans="1:14" x14ac:dyDescent="0.2">
      <c r="K162" s="18">
        <v>6.21</v>
      </c>
      <c r="L162" s="18">
        <v>5.9523333333333337</v>
      </c>
      <c r="M162" s="18">
        <f t="shared" si="6"/>
        <v>0.25766666666666627</v>
      </c>
      <c r="N162" s="18">
        <f t="shared" si="7"/>
        <v>6.6392111111110902E-2</v>
      </c>
    </row>
    <row r="163" spans="1:14" x14ac:dyDescent="0.2">
      <c r="C163" t="s">
        <v>279</v>
      </c>
      <c r="D163">
        <f>I154+H154*B164</f>
        <v>6.249488333333332</v>
      </c>
      <c r="K163" s="18">
        <v>5.87</v>
      </c>
      <c r="L163" s="18">
        <v>5.9523333333333337</v>
      </c>
      <c r="M163" s="18">
        <f t="shared" si="6"/>
        <v>-8.2333333333333591E-2</v>
      </c>
      <c r="N163" s="18">
        <f t="shared" si="7"/>
        <v>6.7787777777778202E-3</v>
      </c>
    </row>
    <row r="164" spans="1:14" x14ac:dyDescent="0.2">
      <c r="A164" t="s">
        <v>324</v>
      </c>
      <c r="B164">
        <v>0.57699999999999996</v>
      </c>
      <c r="C164" t="s">
        <v>280</v>
      </c>
      <c r="D164">
        <f>I154-H154*B164</f>
        <v>5.6551783333333319</v>
      </c>
      <c r="K164" s="18">
        <v>6.02</v>
      </c>
      <c r="L164" s="18">
        <v>5.9523333333333337</v>
      </c>
      <c r="M164" s="18">
        <f t="shared" si="6"/>
        <v>6.7666666666665876E-2</v>
      </c>
      <c r="N164" s="18">
        <f t="shared" si="7"/>
        <v>4.5787777777776704E-3</v>
      </c>
    </row>
    <row r="165" spans="1:14" x14ac:dyDescent="0.2">
      <c r="A165" t="s">
        <v>322</v>
      </c>
      <c r="B165">
        <v>2.11</v>
      </c>
      <c r="K165" s="18">
        <v>5.23</v>
      </c>
      <c r="L165" s="18">
        <v>5.9523333333333337</v>
      </c>
      <c r="M165" s="18">
        <f t="shared" si="6"/>
        <v>-0.72233333333333327</v>
      </c>
      <c r="N165" s="18">
        <f t="shared" si="7"/>
        <v>0.52176544444444439</v>
      </c>
    </row>
    <row r="166" spans="1:14" x14ac:dyDescent="0.2">
      <c r="A166" t="s">
        <v>323</v>
      </c>
      <c r="B166">
        <v>0</v>
      </c>
      <c r="K166" s="18">
        <v>6.21</v>
      </c>
      <c r="L166" s="18">
        <v>5.9523333333333337</v>
      </c>
      <c r="M166" s="18">
        <f t="shared" si="6"/>
        <v>0.25766666666666627</v>
      </c>
      <c r="N166" s="18">
        <f t="shared" si="7"/>
        <v>6.6392111111110902E-2</v>
      </c>
    </row>
    <row r="167" spans="1:14" x14ac:dyDescent="0.2">
      <c r="K167" s="18">
        <v>6.02</v>
      </c>
      <c r="L167" s="18">
        <v>5.9523333333333337</v>
      </c>
      <c r="M167" s="18">
        <f t="shared" si="6"/>
        <v>6.7666666666665876E-2</v>
      </c>
      <c r="N167" s="18">
        <f t="shared" si="7"/>
        <v>4.5787777777776704E-3</v>
      </c>
    </row>
    <row r="168" spans="1:14" x14ac:dyDescent="0.2">
      <c r="K168">
        <v>6.23</v>
      </c>
      <c r="L168">
        <v>5.9523333333333337</v>
      </c>
      <c r="M168">
        <f t="shared" si="6"/>
        <v>0.27766666666666673</v>
      </c>
      <c r="N168">
        <f t="shared" si="7"/>
        <v>7.7098777777777808E-2</v>
      </c>
    </row>
    <row r="169" spans="1:14" x14ac:dyDescent="0.2">
      <c r="C169" t="s">
        <v>279</v>
      </c>
      <c r="D169">
        <f>B165*H154</f>
        <v>1.0866499999999999</v>
      </c>
      <c r="K169">
        <v>5.78</v>
      </c>
      <c r="L169">
        <v>5.9523333333333337</v>
      </c>
      <c r="M169">
        <f t="shared" si="6"/>
        <v>-0.17233333333333345</v>
      </c>
      <c r="N169">
        <f t="shared" si="7"/>
        <v>2.9698777777777817E-2</v>
      </c>
    </row>
    <row r="170" spans="1:14" x14ac:dyDescent="0.2">
      <c r="C170" t="s">
        <v>280</v>
      </c>
      <c r="K170">
        <v>5.98</v>
      </c>
      <c r="L170">
        <v>5.9523333333333337</v>
      </c>
      <c r="M170">
        <f t="shared" si="6"/>
        <v>2.7666666666666728E-2</v>
      </c>
      <c r="N170">
        <f t="shared" si="7"/>
        <v>7.6544444444444782E-4</v>
      </c>
    </row>
    <row r="171" spans="1:14" x14ac:dyDescent="0.2">
      <c r="K171">
        <v>6.12</v>
      </c>
      <c r="L171">
        <v>5.9523333333333337</v>
      </c>
      <c r="M171">
        <f t="shared" si="6"/>
        <v>0.16766666666666641</v>
      </c>
      <c r="N171">
        <f t="shared" si="7"/>
        <v>2.8112111111111025E-2</v>
      </c>
    </row>
    <row r="172" spans="1:14" x14ac:dyDescent="0.2">
      <c r="K172">
        <v>5.99</v>
      </c>
      <c r="L172">
        <v>5.9523333333333337</v>
      </c>
      <c r="M172">
        <f t="shared" si="6"/>
        <v>3.7666666666666515E-2</v>
      </c>
      <c r="N172">
        <f t="shared" si="7"/>
        <v>1.4187777777777664E-3</v>
      </c>
    </row>
    <row r="173" spans="1:14" x14ac:dyDescent="0.2">
      <c r="K173">
        <v>6.1</v>
      </c>
      <c r="L173">
        <v>5.9523333333333337</v>
      </c>
      <c r="M173">
        <f t="shared" si="6"/>
        <v>0.14766666666666595</v>
      </c>
      <c r="N173">
        <f t="shared" si="7"/>
        <v>2.1805444444444232E-2</v>
      </c>
    </row>
    <row r="174" spans="1:14" x14ac:dyDescent="0.2">
      <c r="K174">
        <v>6</v>
      </c>
      <c r="L174">
        <v>5.9523333333333337</v>
      </c>
      <c r="M174">
        <f t="shared" si="6"/>
        <v>4.7666666666666302E-2</v>
      </c>
      <c r="N174">
        <f t="shared" si="7"/>
        <v>2.2721111111110763E-3</v>
      </c>
    </row>
    <row r="175" spans="1:14" x14ac:dyDescent="0.2">
      <c r="K175">
        <v>6.03</v>
      </c>
      <c r="L175">
        <v>5.9523333333333337</v>
      </c>
      <c r="M175">
        <f t="shared" si="6"/>
        <v>7.7666666666666551E-2</v>
      </c>
      <c r="N175">
        <f t="shared" si="7"/>
        <v>6.0321111111110931E-3</v>
      </c>
    </row>
    <row r="176" spans="1:14" x14ac:dyDescent="0.2">
      <c r="K176">
        <v>5.78</v>
      </c>
      <c r="L176">
        <v>5.9523333333333337</v>
      </c>
      <c r="M176">
        <f t="shared" si="6"/>
        <v>-0.17233333333333345</v>
      </c>
      <c r="N176">
        <f t="shared" si="7"/>
        <v>2.9698777777777817E-2</v>
      </c>
    </row>
    <row r="178" spans="1:14" x14ac:dyDescent="0.2">
      <c r="N178">
        <f>SUM(N147:N177)</f>
        <v>1.5421366666666663</v>
      </c>
    </row>
    <row r="180" spans="1:14" x14ac:dyDescent="0.2">
      <c r="L180" t="s">
        <v>319</v>
      </c>
      <c r="M180">
        <v>30</v>
      </c>
    </row>
    <row r="181" spans="1:14" x14ac:dyDescent="0.2">
      <c r="L181" t="s">
        <v>320</v>
      </c>
      <c r="M181">
        <v>29</v>
      </c>
    </row>
    <row r="184" spans="1:14" x14ac:dyDescent="0.2">
      <c r="J184" t="s">
        <v>266</v>
      </c>
      <c r="K184">
        <v>6</v>
      </c>
      <c r="M184" t="s">
        <v>276</v>
      </c>
      <c r="N184">
        <f>N178/M181</f>
        <v>5.3177126436781595E-2</v>
      </c>
    </row>
    <row r="185" spans="1:14" s="1" customFormat="1" x14ac:dyDescent="0.2">
      <c r="M185" s="1" t="s">
        <v>321</v>
      </c>
      <c r="N185" s="1">
        <f>N184/SQRT(K184)</f>
        <v>2.1709470959596782E-2</v>
      </c>
    </row>
    <row r="187" spans="1:14" x14ac:dyDescent="0.2">
      <c r="A187" t="s">
        <v>325</v>
      </c>
      <c r="C187">
        <v>100</v>
      </c>
    </row>
    <row r="189" spans="1:14" x14ac:dyDescent="0.2">
      <c r="B189" t="s">
        <v>326</v>
      </c>
      <c r="C189" t="s">
        <v>327</v>
      </c>
      <c r="E189" t="s">
        <v>300</v>
      </c>
    </row>
    <row r="190" spans="1:14" x14ac:dyDescent="0.2">
      <c r="B190">
        <v>1</v>
      </c>
      <c r="C190">
        <v>6</v>
      </c>
      <c r="E190">
        <v>100</v>
      </c>
      <c r="G190">
        <f>C190/E190</f>
        <v>0.06</v>
      </c>
    </row>
    <row r="191" spans="1:14" x14ac:dyDescent="0.2">
      <c r="B191">
        <v>2</v>
      </c>
      <c r="C191">
        <v>10</v>
      </c>
      <c r="E191">
        <v>100</v>
      </c>
      <c r="G191">
        <f t="shared" ref="G191:G199" si="8">C191/E191</f>
        <v>0.1</v>
      </c>
    </row>
    <row r="192" spans="1:14" x14ac:dyDescent="0.2">
      <c r="B192">
        <v>3</v>
      </c>
      <c r="C192">
        <v>11</v>
      </c>
      <c r="E192">
        <v>100</v>
      </c>
      <c r="G192">
        <f t="shared" si="8"/>
        <v>0.11</v>
      </c>
    </row>
    <row r="193" spans="1:7" x14ac:dyDescent="0.2">
      <c r="B193">
        <v>4</v>
      </c>
      <c r="C193">
        <v>13</v>
      </c>
      <c r="E193">
        <v>100</v>
      </c>
      <c r="G193">
        <f t="shared" si="8"/>
        <v>0.13</v>
      </c>
    </row>
    <row r="194" spans="1:7" x14ac:dyDescent="0.2">
      <c r="B194">
        <v>5</v>
      </c>
      <c r="C194">
        <v>8</v>
      </c>
      <c r="E194">
        <v>100</v>
      </c>
      <c r="G194">
        <f t="shared" si="8"/>
        <v>0.08</v>
      </c>
    </row>
    <row r="195" spans="1:7" x14ac:dyDescent="0.2">
      <c r="B195">
        <v>6</v>
      </c>
      <c r="C195">
        <v>16</v>
      </c>
      <c r="E195">
        <v>100</v>
      </c>
      <c r="G195">
        <f t="shared" si="8"/>
        <v>0.16</v>
      </c>
    </row>
    <row r="196" spans="1:7" x14ac:dyDescent="0.2">
      <c r="B196">
        <v>7</v>
      </c>
      <c r="C196">
        <v>6</v>
      </c>
      <c r="E196">
        <v>100</v>
      </c>
      <c r="G196">
        <f t="shared" si="8"/>
        <v>0.06</v>
      </c>
    </row>
    <row r="197" spans="1:7" x14ac:dyDescent="0.2">
      <c r="B197">
        <v>8</v>
      </c>
      <c r="C197">
        <v>8</v>
      </c>
      <c r="E197">
        <v>100</v>
      </c>
      <c r="G197">
        <f t="shared" si="8"/>
        <v>0.08</v>
      </c>
    </row>
    <row r="198" spans="1:7" x14ac:dyDescent="0.2">
      <c r="B198">
        <v>9</v>
      </c>
      <c r="C198">
        <v>4</v>
      </c>
      <c r="E198">
        <v>100</v>
      </c>
      <c r="G198">
        <f t="shared" si="8"/>
        <v>0.04</v>
      </c>
    </row>
    <row r="199" spans="1:7" x14ac:dyDescent="0.2">
      <c r="B199">
        <v>10</v>
      </c>
      <c r="C199">
        <v>9</v>
      </c>
      <c r="E199">
        <v>100</v>
      </c>
      <c r="G199">
        <f t="shared" si="8"/>
        <v>0.09</v>
      </c>
    </row>
    <row r="200" spans="1:7" x14ac:dyDescent="0.2">
      <c r="A200" t="s">
        <v>328</v>
      </c>
      <c r="G200">
        <f>AVERAGE(G190:G199)</f>
        <v>9.0999999999999998E-2</v>
      </c>
    </row>
    <row r="202" spans="1:7" x14ac:dyDescent="0.2">
      <c r="B202" t="s">
        <v>329</v>
      </c>
      <c r="C202">
        <f>1-G200</f>
        <v>0.90900000000000003</v>
      </c>
    </row>
    <row r="204" spans="1:7" x14ac:dyDescent="0.2">
      <c r="B204" t="s">
        <v>330</v>
      </c>
      <c r="C204">
        <f>G200+3*SQRT(G200*(1-G200)/100)</f>
        <v>0.17728273291916524</v>
      </c>
    </row>
    <row r="205" spans="1:7" x14ac:dyDescent="0.2">
      <c r="B205" t="s">
        <v>331</v>
      </c>
      <c r="C205">
        <f>G200-3*SQRT(C202*G200/100)</f>
        <v>4.7172670808347666E-3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8EC1-770F-0B4A-9175-B6DDBF0B09D5}">
  <dimension ref="A2:O178"/>
  <sheetViews>
    <sheetView topLeftCell="A161" zoomScale="150" workbookViewId="0">
      <selection activeCell="A178" sqref="A178:XFD178"/>
    </sheetView>
  </sheetViews>
  <sheetFormatPr baseColWidth="10" defaultRowHeight="16" x14ac:dyDescent="0.2"/>
  <sheetData>
    <row r="2" spans="1:6" x14ac:dyDescent="0.2">
      <c r="A2" s="6" t="s">
        <v>337</v>
      </c>
    </row>
    <row r="4" spans="1:6" x14ac:dyDescent="0.2">
      <c r="B4" t="s">
        <v>332</v>
      </c>
      <c r="C4" t="s">
        <v>333</v>
      </c>
      <c r="F4">
        <v>4880</v>
      </c>
    </row>
    <row r="5" spans="1:6" x14ac:dyDescent="0.2">
      <c r="B5" t="s">
        <v>338</v>
      </c>
      <c r="C5" t="s">
        <v>334</v>
      </c>
      <c r="F5">
        <v>49</v>
      </c>
    </row>
    <row r="6" spans="1:6" x14ac:dyDescent="0.2">
      <c r="B6" t="s">
        <v>335</v>
      </c>
      <c r="C6" t="s">
        <v>336</v>
      </c>
      <c r="F6">
        <v>3</v>
      </c>
    </row>
    <row r="7" spans="1:6" x14ac:dyDescent="0.2">
      <c r="B7" t="s">
        <v>350</v>
      </c>
      <c r="F7">
        <v>1220</v>
      </c>
    </row>
    <row r="8" spans="1:6" x14ac:dyDescent="0.2">
      <c r="B8" t="s">
        <v>339</v>
      </c>
      <c r="F8">
        <v>12</v>
      </c>
    </row>
    <row r="10" spans="1:6" x14ac:dyDescent="0.2">
      <c r="A10" t="s">
        <v>83</v>
      </c>
      <c r="B10" t="s">
        <v>341</v>
      </c>
      <c r="C10">
        <v>870</v>
      </c>
    </row>
    <row r="12" spans="1:6" x14ac:dyDescent="0.2">
      <c r="B12" t="s">
        <v>340</v>
      </c>
      <c r="E12">
        <f>C10/2</f>
        <v>435</v>
      </c>
    </row>
    <row r="13" spans="1:6" x14ac:dyDescent="0.2">
      <c r="B13" t="s">
        <v>342</v>
      </c>
      <c r="E13">
        <f>F4/C10</f>
        <v>5.6091954022988508</v>
      </c>
    </row>
    <row r="14" spans="1:6" x14ac:dyDescent="0.2">
      <c r="B14" t="s">
        <v>343</v>
      </c>
      <c r="E14">
        <f>E12*F6</f>
        <v>1305</v>
      </c>
    </row>
    <row r="15" spans="1:6" x14ac:dyDescent="0.2">
      <c r="B15" t="s">
        <v>344</v>
      </c>
      <c r="E15">
        <f>F5*E13</f>
        <v>274.85057471264366</v>
      </c>
    </row>
    <row r="16" spans="1:6" x14ac:dyDescent="0.2">
      <c r="B16" t="s">
        <v>345</v>
      </c>
      <c r="E16">
        <f>E15+E14</f>
        <v>1579.8505747126437</v>
      </c>
    </row>
    <row r="18" spans="1:9" s="1" customFormat="1" x14ac:dyDescent="0.2"/>
    <row r="19" spans="1:9" x14ac:dyDescent="0.2">
      <c r="A19" s="6" t="s">
        <v>351</v>
      </c>
    </row>
    <row r="21" spans="1:9" x14ac:dyDescent="0.2">
      <c r="A21" t="s">
        <v>346</v>
      </c>
    </row>
    <row r="22" spans="1:9" x14ac:dyDescent="0.2">
      <c r="A22" t="s">
        <v>347</v>
      </c>
    </row>
    <row r="23" spans="1:9" x14ac:dyDescent="0.2">
      <c r="A23" t="s">
        <v>348</v>
      </c>
      <c r="D23">
        <v>1700</v>
      </c>
    </row>
    <row r="24" spans="1:9" x14ac:dyDescent="0.2">
      <c r="A24" t="s">
        <v>358</v>
      </c>
      <c r="D24">
        <v>5</v>
      </c>
    </row>
    <row r="25" spans="1:9" x14ac:dyDescent="0.2">
      <c r="A25" t="s">
        <v>349</v>
      </c>
      <c r="D25">
        <v>13</v>
      </c>
    </row>
    <row r="26" spans="1:9" x14ac:dyDescent="0.2">
      <c r="A26" t="s">
        <v>352</v>
      </c>
      <c r="D26">
        <v>1</v>
      </c>
      <c r="E26" t="s">
        <v>67</v>
      </c>
    </row>
    <row r="27" spans="1:9" x14ac:dyDescent="0.2">
      <c r="A27" t="s">
        <v>353</v>
      </c>
      <c r="D27">
        <v>52</v>
      </c>
      <c r="E27" t="s">
        <v>355</v>
      </c>
    </row>
    <row r="28" spans="1:9" x14ac:dyDescent="0.2">
      <c r="A28" t="s">
        <v>354</v>
      </c>
      <c r="D28">
        <f>D23/D27</f>
        <v>32.692307692307693</v>
      </c>
      <c r="E28" t="s">
        <v>356</v>
      </c>
    </row>
    <row r="30" spans="1:9" x14ac:dyDescent="0.2">
      <c r="A30" t="s">
        <v>77</v>
      </c>
      <c r="B30" t="s">
        <v>357</v>
      </c>
      <c r="C30" t="s">
        <v>359</v>
      </c>
      <c r="H30">
        <f>SQRT((2*D23*D25)/D24)</f>
        <v>94.021274188345274</v>
      </c>
    </row>
    <row r="31" spans="1:9" x14ac:dyDescent="0.2">
      <c r="A31" t="s">
        <v>83</v>
      </c>
      <c r="B31" t="s">
        <v>360</v>
      </c>
      <c r="D31" t="s">
        <v>361</v>
      </c>
      <c r="I31">
        <f>(H30/2)*D24+(D23/H30)*D25</f>
        <v>470.10637094172637</v>
      </c>
    </row>
    <row r="32" spans="1:9" x14ac:dyDescent="0.2">
      <c r="A32" t="s">
        <v>362</v>
      </c>
      <c r="B32" t="s">
        <v>363</v>
      </c>
      <c r="D32" t="s">
        <v>364</v>
      </c>
      <c r="F32">
        <f>D26*D28</f>
        <v>32.692307692307693</v>
      </c>
    </row>
    <row r="33" spans="1:8" s="1" customFormat="1" x14ac:dyDescent="0.2"/>
    <row r="34" spans="1:8" x14ac:dyDescent="0.2">
      <c r="A34" s="6" t="s">
        <v>365</v>
      </c>
    </row>
    <row r="35" spans="1:8" x14ac:dyDescent="0.2">
      <c r="A35" t="s">
        <v>346</v>
      </c>
    </row>
    <row r="36" spans="1:8" x14ac:dyDescent="0.2">
      <c r="A36" t="s">
        <v>347</v>
      </c>
      <c r="D36">
        <v>650</v>
      </c>
    </row>
    <row r="37" spans="1:8" x14ac:dyDescent="0.2">
      <c r="A37" t="s">
        <v>348</v>
      </c>
      <c r="D37">
        <f>D41*E37</f>
        <v>6760</v>
      </c>
      <c r="E37">
        <v>130</v>
      </c>
      <c r="F37" t="s">
        <v>366</v>
      </c>
    </row>
    <row r="38" spans="1:8" x14ac:dyDescent="0.2">
      <c r="A38" t="s">
        <v>358</v>
      </c>
      <c r="D38">
        <v>3</v>
      </c>
      <c r="E38" t="s">
        <v>367</v>
      </c>
    </row>
    <row r="39" spans="1:8" x14ac:dyDescent="0.2">
      <c r="A39" t="s">
        <v>349</v>
      </c>
      <c r="D39">
        <v>20</v>
      </c>
      <c r="E39" t="s">
        <v>367</v>
      </c>
    </row>
    <row r="40" spans="1:8" x14ac:dyDescent="0.2">
      <c r="A40" t="s">
        <v>352</v>
      </c>
      <c r="D40">
        <v>1</v>
      </c>
      <c r="E40" t="s">
        <v>67</v>
      </c>
    </row>
    <row r="41" spans="1:8" x14ac:dyDescent="0.2">
      <c r="A41" t="s">
        <v>353</v>
      </c>
      <c r="D41">
        <v>52</v>
      </c>
      <c r="E41" t="s">
        <v>355</v>
      </c>
    </row>
    <row r="42" spans="1:8" x14ac:dyDescent="0.2">
      <c r="A42" t="s">
        <v>354</v>
      </c>
      <c r="D42">
        <v>130</v>
      </c>
    </row>
    <row r="44" spans="1:8" x14ac:dyDescent="0.2">
      <c r="A44" t="s">
        <v>77</v>
      </c>
      <c r="B44" t="s">
        <v>368</v>
      </c>
      <c r="C44" t="s">
        <v>361</v>
      </c>
      <c r="G44" t="s">
        <v>369</v>
      </c>
    </row>
    <row r="45" spans="1:8" x14ac:dyDescent="0.2">
      <c r="B45" s="19" t="s">
        <v>357</v>
      </c>
      <c r="C45" t="s">
        <v>359</v>
      </c>
      <c r="H45">
        <f>SQRT((2*D37*D39)/D38)</f>
        <v>300.22213997860541</v>
      </c>
    </row>
    <row r="46" spans="1:8" x14ac:dyDescent="0.2">
      <c r="B46" t="s">
        <v>368</v>
      </c>
      <c r="C46">
        <f>(D36/2)*D38+(D37/D36)*D39</f>
        <v>1183</v>
      </c>
    </row>
    <row r="47" spans="1:8" s="1" customFormat="1" x14ac:dyDescent="0.2"/>
    <row r="48" spans="1:8" x14ac:dyDescent="0.2">
      <c r="H48" t="s">
        <v>370</v>
      </c>
    </row>
    <row r="49" spans="2:15" x14ac:dyDescent="0.2">
      <c r="B49" t="s">
        <v>332</v>
      </c>
      <c r="C49" t="s">
        <v>371</v>
      </c>
      <c r="H49">
        <v>10000</v>
      </c>
    </row>
    <row r="50" spans="2:15" x14ac:dyDescent="0.2">
      <c r="B50" t="s">
        <v>339</v>
      </c>
      <c r="C50" t="s">
        <v>372</v>
      </c>
      <c r="H50" t="s">
        <v>373</v>
      </c>
      <c r="I50">
        <f>H49/G58</f>
        <v>40</v>
      </c>
    </row>
    <row r="51" spans="2:15" x14ac:dyDescent="0.2">
      <c r="B51" t="s">
        <v>374</v>
      </c>
      <c r="C51" t="s">
        <v>375</v>
      </c>
      <c r="H51" t="s">
        <v>376</v>
      </c>
      <c r="I51">
        <v>5</v>
      </c>
    </row>
    <row r="52" spans="2:15" x14ac:dyDescent="0.2">
      <c r="B52" t="s">
        <v>338</v>
      </c>
      <c r="C52" t="s">
        <v>377</v>
      </c>
      <c r="H52" s="7">
        <v>75</v>
      </c>
      <c r="I52">
        <v>75</v>
      </c>
    </row>
    <row r="53" spans="2:15" x14ac:dyDescent="0.2">
      <c r="B53" t="s">
        <v>335</v>
      </c>
      <c r="C53" t="s">
        <v>378</v>
      </c>
      <c r="K53" t="s">
        <v>379</v>
      </c>
      <c r="M53">
        <v>6</v>
      </c>
    </row>
    <row r="54" spans="2:15" x14ac:dyDescent="0.2">
      <c r="B54" t="s">
        <v>380</v>
      </c>
      <c r="C54" t="s">
        <v>381</v>
      </c>
    </row>
    <row r="55" spans="2:15" x14ac:dyDescent="0.2">
      <c r="B55" t="s">
        <v>382</v>
      </c>
      <c r="C55" t="s">
        <v>383</v>
      </c>
    </row>
    <row r="56" spans="2:15" x14ac:dyDescent="0.2">
      <c r="B56" t="s">
        <v>384</v>
      </c>
      <c r="C56" t="s">
        <v>385</v>
      </c>
      <c r="G56" t="s">
        <v>386</v>
      </c>
      <c r="H56" t="s">
        <v>387</v>
      </c>
      <c r="I56" t="s">
        <v>388</v>
      </c>
      <c r="J56" t="s">
        <v>384</v>
      </c>
      <c r="K56" t="s">
        <v>387</v>
      </c>
      <c r="L56" t="s">
        <v>389</v>
      </c>
      <c r="M56" t="s">
        <v>390</v>
      </c>
      <c r="N56">
        <f>J60/H49</f>
        <v>0.05</v>
      </c>
      <c r="O56" t="s">
        <v>391</v>
      </c>
    </row>
    <row r="57" spans="2:15" x14ac:dyDescent="0.2">
      <c r="B57" t="s">
        <v>116</v>
      </c>
      <c r="C57" t="s">
        <v>392</v>
      </c>
      <c r="G57" t="s">
        <v>393</v>
      </c>
      <c r="H57" t="s">
        <v>387</v>
      </c>
      <c r="I57" t="s">
        <v>332</v>
      </c>
      <c r="J57" t="s">
        <v>116</v>
      </c>
      <c r="K57" t="s">
        <v>387</v>
      </c>
      <c r="L57" t="s">
        <v>394</v>
      </c>
      <c r="M57">
        <f>H49/J60</f>
        <v>20</v>
      </c>
    </row>
    <row r="58" spans="2:15" x14ac:dyDescent="0.2">
      <c r="C58" t="s">
        <v>395</v>
      </c>
      <c r="G58" s="20">
        <v>250</v>
      </c>
    </row>
    <row r="59" spans="2:15" x14ac:dyDescent="0.2">
      <c r="B59" s="20" t="s">
        <v>396</v>
      </c>
      <c r="C59" t="s">
        <v>387</v>
      </c>
      <c r="D59" t="s">
        <v>397</v>
      </c>
      <c r="E59">
        <f>I50*I51</f>
        <v>200</v>
      </c>
    </row>
    <row r="60" spans="2:15" x14ac:dyDescent="0.2">
      <c r="B60" s="20" t="s">
        <v>380</v>
      </c>
      <c r="C60" t="s">
        <v>387</v>
      </c>
      <c r="D60" t="s">
        <v>398</v>
      </c>
      <c r="G60" t="s">
        <v>387</v>
      </c>
      <c r="H60" t="s">
        <v>399</v>
      </c>
      <c r="J60">
        <f>SQRT(2*H49*I52/M53)</f>
        <v>500</v>
      </c>
    </row>
    <row r="62" spans="2:15" x14ac:dyDescent="0.2">
      <c r="B62" t="s">
        <v>400</v>
      </c>
      <c r="C62" t="s">
        <v>387</v>
      </c>
      <c r="D62" t="s">
        <v>401</v>
      </c>
    </row>
    <row r="63" spans="2:15" x14ac:dyDescent="0.2">
      <c r="D63" t="s">
        <v>402</v>
      </c>
      <c r="E63" t="s">
        <v>403</v>
      </c>
      <c r="F63" t="s">
        <v>404</v>
      </c>
    </row>
    <row r="64" spans="2:15" x14ac:dyDescent="0.2">
      <c r="D64" t="s">
        <v>405</v>
      </c>
      <c r="E64" t="s">
        <v>403</v>
      </c>
      <c r="F64" t="s">
        <v>406</v>
      </c>
      <c r="I64">
        <f>(H49/J60)*I52 + M53 *(J60/2)</f>
        <v>3000</v>
      </c>
    </row>
    <row r="66" spans="1:7" s="1" customFormat="1" x14ac:dyDescent="0.2"/>
    <row r="68" spans="1:7" x14ac:dyDescent="0.2">
      <c r="B68" t="s">
        <v>407</v>
      </c>
      <c r="D68" t="s">
        <v>387</v>
      </c>
      <c r="E68" t="s">
        <v>408</v>
      </c>
    </row>
    <row r="69" spans="1:7" x14ac:dyDescent="0.2">
      <c r="B69" t="s">
        <v>409</v>
      </c>
    </row>
    <row r="70" spans="1:7" x14ac:dyDescent="0.2">
      <c r="B70" t="s">
        <v>410</v>
      </c>
    </row>
    <row r="72" spans="1:7" x14ac:dyDescent="0.2">
      <c r="B72" t="s">
        <v>411</v>
      </c>
    </row>
    <row r="73" spans="1:7" x14ac:dyDescent="0.2">
      <c r="B73" t="s">
        <v>412</v>
      </c>
      <c r="C73" t="s">
        <v>387</v>
      </c>
      <c r="D73" t="s">
        <v>413</v>
      </c>
    </row>
    <row r="74" spans="1:7" x14ac:dyDescent="0.2">
      <c r="B74" t="s">
        <v>414</v>
      </c>
      <c r="C74" t="s">
        <v>387</v>
      </c>
      <c r="D74" t="s">
        <v>375</v>
      </c>
    </row>
    <row r="75" spans="1:7" x14ac:dyDescent="0.2">
      <c r="B75" t="s">
        <v>313</v>
      </c>
      <c r="C75" t="s">
        <v>387</v>
      </c>
      <c r="D75" t="s">
        <v>415</v>
      </c>
      <c r="E75" t="s">
        <v>416</v>
      </c>
    </row>
    <row r="76" spans="1:7" x14ac:dyDescent="0.2">
      <c r="B76" t="s">
        <v>417</v>
      </c>
      <c r="C76" t="s">
        <v>387</v>
      </c>
      <c r="D76" t="s">
        <v>418</v>
      </c>
    </row>
    <row r="77" spans="1:7" x14ac:dyDescent="0.2">
      <c r="B77" t="s">
        <v>419</v>
      </c>
      <c r="C77" t="s">
        <v>387</v>
      </c>
      <c r="D77" t="s">
        <v>420</v>
      </c>
    </row>
    <row r="79" spans="1:7" x14ac:dyDescent="0.2">
      <c r="A79" s="20" t="s">
        <v>421</v>
      </c>
      <c r="B79" t="s">
        <v>422</v>
      </c>
    </row>
    <row r="80" spans="1:7" x14ac:dyDescent="0.2">
      <c r="A80" t="s">
        <v>423</v>
      </c>
      <c r="B80" t="s">
        <v>396</v>
      </c>
      <c r="C80" t="s">
        <v>387</v>
      </c>
      <c r="D80" t="s">
        <v>424</v>
      </c>
      <c r="F80" t="s">
        <v>423</v>
      </c>
      <c r="G80" t="s">
        <v>425</v>
      </c>
    </row>
    <row r="82" spans="1:7" x14ac:dyDescent="0.2">
      <c r="A82" s="20" t="s">
        <v>426</v>
      </c>
      <c r="B82" t="s">
        <v>427</v>
      </c>
    </row>
    <row r="83" spans="1:7" x14ac:dyDescent="0.2">
      <c r="B83" t="s">
        <v>396</v>
      </c>
      <c r="C83" t="s">
        <v>387</v>
      </c>
      <c r="D83" t="s">
        <v>428</v>
      </c>
      <c r="G83" t="s">
        <v>429</v>
      </c>
    </row>
    <row r="85" spans="1:7" x14ac:dyDescent="0.2">
      <c r="A85" s="20" t="s">
        <v>430</v>
      </c>
      <c r="B85" t="s">
        <v>431</v>
      </c>
    </row>
    <row r="86" spans="1:7" x14ac:dyDescent="0.2">
      <c r="B86" t="s">
        <v>396</v>
      </c>
      <c r="C86" t="s">
        <v>387</v>
      </c>
      <c r="D86" t="s">
        <v>432</v>
      </c>
      <c r="G86" t="s">
        <v>433</v>
      </c>
    </row>
    <row r="88" spans="1:7" x14ac:dyDescent="0.2">
      <c r="A88" s="20" t="s">
        <v>434</v>
      </c>
      <c r="B88" t="s">
        <v>435</v>
      </c>
    </row>
    <row r="89" spans="1:7" x14ac:dyDescent="0.2">
      <c r="B89" t="s">
        <v>396</v>
      </c>
      <c r="C89" t="s">
        <v>387</v>
      </c>
      <c r="D89" t="s">
        <v>436</v>
      </c>
    </row>
    <row r="91" spans="1:7" x14ac:dyDescent="0.2">
      <c r="G91" t="s">
        <v>437</v>
      </c>
    </row>
    <row r="93" spans="1:7" s="1" customFormat="1" x14ac:dyDescent="0.2"/>
    <row r="94" spans="1:7" ht="19" x14ac:dyDescent="0.25">
      <c r="A94" s="14" t="s">
        <v>438</v>
      </c>
    </row>
    <row r="111" spans="1:5" x14ac:dyDescent="0.2">
      <c r="A111" t="s">
        <v>439</v>
      </c>
      <c r="D111">
        <v>200</v>
      </c>
    </row>
    <row r="112" spans="1:5" x14ac:dyDescent="0.2">
      <c r="A112" t="s">
        <v>354</v>
      </c>
      <c r="D112">
        <v>75</v>
      </c>
      <c r="E112" t="s">
        <v>440</v>
      </c>
    </row>
    <row r="113" spans="1:12" x14ac:dyDescent="0.2">
      <c r="A113" t="s">
        <v>441</v>
      </c>
      <c r="D113">
        <v>15</v>
      </c>
      <c r="E113" t="s">
        <v>442</v>
      </c>
    </row>
    <row r="114" spans="1:12" x14ac:dyDescent="0.2">
      <c r="A114" t="s">
        <v>443</v>
      </c>
      <c r="D114">
        <v>16</v>
      </c>
      <c r="E114" t="s">
        <v>367</v>
      </c>
    </row>
    <row r="115" spans="1:12" x14ac:dyDescent="0.2">
      <c r="A115" t="s">
        <v>444</v>
      </c>
      <c r="D115">
        <v>4</v>
      </c>
      <c r="E115" t="s">
        <v>445</v>
      </c>
    </row>
    <row r="116" spans="1:12" x14ac:dyDescent="0.2">
      <c r="A116" t="s">
        <v>446</v>
      </c>
      <c r="D116">
        <v>3</v>
      </c>
      <c r="E116" t="s">
        <v>447</v>
      </c>
    </row>
    <row r="118" spans="1:12" x14ac:dyDescent="0.2">
      <c r="A118" t="s">
        <v>448</v>
      </c>
      <c r="C118" t="s">
        <v>341</v>
      </c>
      <c r="D118">
        <f>D111*D112</f>
        <v>15000</v>
      </c>
    </row>
    <row r="120" spans="1:12" x14ac:dyDescent="0.2">
      <c r="A120" t="s">
        <v>77</v>
      </c>
      <c r="B120" t="s">
        <v>357</v>
      </c>
      <c r="C120">
        <f>SQRT((2*D118*D114)/D116)</f>
        <v>400</v>
      </c>
    </row>
    <row r="122" spans="1:12" x14ac:dyDescent="0.2">
      <c r="A122" t="s">
        <v>83</v>
      </c>
      <c r="B122" t="s">
        <v>449</v>
      </c>
      <c r="D122" t="s">
        <v>450</v>
      </c>
      <c r="E122">
        <f>(C120/2)*D116</f>
        <v>600</v>
      </c>
    </row>
    <row r="124" spans="1:12" x14ac:dyDescent="0.2">
      <c r="A124" t="s">
        <v>362</v>
      </c>
      <c r="B124" t="s">
        <v>451</v>
      </c>
      <c r="D124" t="s">
        <v>405</v>
      </c>
      <c r="E124">
        <f>D118/C120*D114</f>
        <v>600</v>
      </c>
    </row>
    <row r="126" spans="1:12" x14ac:dyDescent="0.2">
      <c r="A126" t="s">
        <v>452</v>
      </c>
      <c r="B126" t="s">
        <v>453</v>
      </c>
      <c r="D126" s="21">
        <v>0.01</v>
      </c>
      <c r="F126" t="s">
        <v>454</v>
      </c>
      <c r="G126">
        <f>100 -1</f>
        <v>99</v>
      </c>
      <c r="I126" t="s">
        <v>455</v>
      </c>
      <c r="L126" t="s">
        <v>456</v>
      </c>
    </row>
    <row r="127" spans="1:12" x14ac:dyDescent="0.2">
      <c r="I127" t="s">
        <v>457</v>
      </c>
      <c r="J127">
        <f>2.33</f>
        <v>2.33</v>
      </c>
    </row>
    <row r="128" spans="1:12" x14ac:dyDescent="0.2">
      <c r="B128" t="s">
        <v>458</v>
      </c>
    </row>
    <row r="130" spans="2:5" x14ac:dyDescent="0.2">
      <c r="B130" s="20" t="s">
        <v>426</v>
      </c>
      <c r="C130" t="s">
        <v>459</v>
      </c>
    </row>
    <row r="131" spans="2:5" x14ac:dyDescent="0.2">
      <c r="C131" t="s">
        <v>396</v>
      </c>
      <c r="D131" t="s">
        <v>387</v>
      </c>
      <c r="E131" t="s">
        <v>428</v>
      </c>
    </row>
    <row r="133" spans="2:5" x14ac:dyDescent="0.2">
      <c r="C133" t="s">
        <v>396</v>
      </c>
      <c r="D133" t="s">
        <v>387</v>
      </c>
    </row>
    <row r="134" spans="2:5" x14ac:dyDescent="0.2">
      <c r="B134" s="20" t="s">
        <v>460</v>
      </c>
    </row>
    <row r="136" spans="2:5" x14ac:dyDescent="0.2">
      <c r="B136" t="s">
        <v>429</v>
      </c>
    </row>
    <row r="138" spans="2:5" x14ac:dyDescent="0.2">
      <c r="B138" t="s">
        <v>461</v>
      </c>
    </row>
    <row r="140" spans="2:5" x14ac:dyDescent="0.2">
      <c r="B140" s="20" t="s">
        <v>462</v>
      </c>
    </row>
    <row r="141" spans="2:5" x14ac:dyDescent="0.2">
      <c r="B141" t="s">
        <v>463</v>
      </c>
      <c r="E141" t="s">
        <v>464</v>
      </c>
    </row>
    <row r="143" spans="2:5" x14ac:dyDescent="0.2">
      <c r="B143" s="20" t="s">
        <v>465</v>
      </c>
    </row>
    <row r="145" spans="1:8" x14ac:dyDescent="0.2">
      <c r="B145" t="s">
        <v>466</v>
      </c>
      <c r="G145" t="s">
        <v>467</v>
      </c>
      <c r="H145">
        <f>2.05</f>
        <v>2.0499999999999998</v>
      </c>
    </row>
    <row r="147" spans="1:8" x14ac:dyDescent="0.2">
      <c r="B147" t="s">
        <v>461</v>
      </c>
    </row>
    <row r="149" spans="1:8" x14ac:dyDescent="0.2">
      <c r="B149" t="s">
        <v>468</v>
      </c>
    </row>
    <row r="150" spans="1:8" s="1" customFormat="1" x14ac:dyDescent="0.2"/>
    <row r="151" spans="1:8" x14ac:dyDescent="0.2">
      <c r="A151" s="6" t="s">
        <v>469</v>
      </c>
    </row>
    <row r="153" spans="1:8" x14ac:dyDescent="0.2">
      <c r="B153" t="s">
        <v>470</v>
      </c>
      <c r="E153">
        <v>280</v>
      </c>
    </row>
    <row r="154" spans="1:8" x14ac:dyDescent="0.2">
      <c r="B154" t="s">
        <v>354</v>
      </c>
      <c r="E154">
        <v>5</v>
      </c>
      <c r="F154" t="s">
        <v>471</v>
      </c>
      <c r="G154" t="s">
        <v>339</v>
      </c>
    </row>
    <row r="155" spans="1:8" x14ac:dyDescent="0.2">
      <c r="B155" t="s">
        <v>270</v>
      </c>
      <c r="E155">
        <v>3</v>
      </c>
      <c r="F155" t="s">
        <v>472</v>
      </c>
      <c r="G155" t="s">
        <v>414</v>
      </c>
    </row>
    <row r="156" spans="1:8" x14ac:dyDescent="0.2">
      <c r="B156" t="s">
        <v>344</v>
      </c>
      <c r="E156">
        <v>12</v>
      </c>
      <c r="G156" t="s">
        <v>338</v>
      </c>
    </row>
    <row r="157" spans="1:8" x14ac:dyDescent="0.2">
      <c r="B157" t="s">
        <v>473</v>
      </c>
      <c r="E157">
        <v>0.21</v>
      </c>
      <c r="G157" t="s">
        <v>335</v>
      </c>
    </row>
    <row r="158" spans="1:8" x14ac:dyDescent="0.2">
      <c r="B158" t="s">
        <v>474</v>
      </c>
      <c r="E158">
        <v>3</v>
      </c>
      <c r="F158" t="s">
        <v>445</v>
      </c>
    </row>
    <row r="160" spans="1:8" x14ac:dyDescent="0.2">
      <c r="B160" t="s">
        <v>475</v>
      </c>
      <c r="D160">
        <f>E154*E153</f>
        <v>1400</v>
      </c>
      <c r="E160" t="s">
        <v>332</v>
      </c>
    </row>
    <row r="162" spans="1:8" x14ac:dyDescent="0.2">
      <c r="A162" t="s">
        <v>77</v>
      </c>
      <c r="B162" t="s">
        <v>357</v>
      </c>
      <c r="C162" t="s">
        <v>359</v>
      </c>
      <c r="H162">
        <f>SQRT((2*D160*E156)/E157)</f>
        <v>400</v>
      </c>
    </row>
    <row r="163" spans="1:8" x14ac:dyDescent="0.2">
      <c r="A163" t="s">
        <v>83</v>
      </c>
      <c r="B163" t="s">
        <v>478</v>
      </c>
      <c r="C163">
        <f>E154*E158+B165*E155</f>
        <v>20.64</v>
      </c>
    </row>
    <row r="164" spans="1:8" x14ac:dyDescent="0.2">
      <c r="A164" t="s">
        <v>476</v>
      </c>
      <c r="B164" s="21" t="s">
        <v>477</v>
      </c>
      <c r="C164">
        <v>0.97</v>
      </c>
    </row>
    <row r="165" spans="1:8" x14ac:dyDescent="0.2">
      <c r="A165" t="s">
        <v>310</v>
      </c>
      <c r="B165">
        <v>1.88</v>
      </c>
    </row>
    <row r="166" spans="1:8" x14ac:dyDescent="0.2">
      <c r="A166" t="s">
        <v>362</v>
      </c>
      <c r="B166" t="s">
        <v>479</v>
      </c>
      <c r="C166" t="s">
        <v>480</v>
      </c>
      <c r="G166">
        <f>E155*B165</f>
        <v>5.64</v>
      </c>
    </row>
    <row r="167" spans="1:8" x14ac:dyDescent="0.2">
      <c r="A167" t="s">
        <v>452</v>
      </c>
      <c r="B167" t="s">
        <v>478</v>
      </c>
      <c r="C167">
        <f>E154*E158+B169*E155</f>
        <v>21.990000000000002</v>
      </c>
    </row>
    <row r="168" spans="1:8" x14ac:dyDescent="0.2">
      <c r="A168" t="s">
        <v>476</v>
      </c>
      <c r="B168" t="s">
        <v>481</v>
      </c>
    </row>
    <row r="169" spans="1:8" x14ac:dyDescent="0.2">
      <c r="A169" t="s">
        <v>310</v>
      </c>
      <c r="B169">
        <f>2.33</f>
        <v>2.33</v>
      </c>
    </row>
    <row r="170" spans="1:8" x14ac:dyDescent="0.2">
      <c r="A170" t="s">
        <v>460</v>
      </c>
      <c r="B170" t="s">
        <v>479</v>
      </c>
      <c r="D170">
        <f>B169*E155</f>
        <v>6.99</v>
      </c>
    </row>
    <row r="171" spans="1:8" s="1" customFormat="1" x14ac:dyDescent="0.2"/>
    <row r="172" spans="1:8" ht="17" x14ac:dyDescent="0.2">
      <c r="A172" s="22" t="s">
        <v>317</v>
      </c>
    </row>
    <row r="174" spans="1:8" x14ac:dyDescent="0.2">
      <c r="A174" t="s">
        <v>475</v>
      </c>
      <c r="C174">
        <v>24000</v>
      </c>
    </row>
    <row r="175" spans="1:8" x14ac:dyDescent="0.2">
      <c r="A175" t="s">
        <v>474</v>
      </c>
      <c r="C175">
        <v>0.5</v>
      </c>
      <c r="D175" t="s">
        <v>1</v>
      </c>
      <c r="E175">
        <f>24</f>
        <v>24</v>
      </c>
      <c r="F175" t="s">
        <v>483</v>
      </c>
    </row>
    <row r="176" spans="1:8" x14ac:dyDescent="0.2">
      <c r="A176" t="s">
        <v>482</v>
      </c>
      <c r="C176">
        <v>50</v>
      </c>
      <c r="D176" t="s">
        <v>367</v>
      </c>
    </row>
    <row r="177" spans="1:3" x14ac:dyDescent="0.2">
      <c r="A177" t="s">
        <v>484</v>
      </c>
      <c r="C177">
        <f>E175*C176</f>
        <v>1200</v>
      </c>
    </row>
    <row r="178" spans="1:3" s="1" customFormat="1" x14ac:dyDescent="0.2"/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514B-7263-D54A-915A-DC3A45A49A93}">
  <dimension ref="A2:O42"/>
  <sheetViews>
    <sheetView tabSelected="1" topLeftCell="A18" zoomScale="125" workbookViewId="0">
      <selection activeCell="E28" sqref="E28"/>
    </sheetView>
  </sheetViews>
  <sheetFormatPr baseColWidth="10" defaultRowHeight="16" x14ac:dyDescent="0.2"/>
  <sheetData>
    <row r="2" spans="1:10" x14ac:dyDescent="0.2">
      <c r="A2" t="s">
        <v>485</v>
      </c>
    </row>
    <row r="3" spans="1:10" x14ac:dyDescent="0.2">
      <c r="B3" t="s">
        <v>486</v>
      </c>
      <c r="D3" t="s">
        <v>487</v>
      </c>
      <c r="F3" t="s">
        <v>488</v>
      </c>
      <c r="H3" t="s">
        <v>489</v>
      </c>
      <c r="J3" t="s">
        <v>496</v>
      </c>
    </row>
    <row r="4" spans="1:10" x14ac:dyDescent="0.2">
      <c r="B4" t="s">
        <v>490</v>
      </c>
      <c r="D4">
        <v>8</v>
      </c>
      <c r="F4">
        <v>10</v>
      </c>
      <c r="H4">
        <v>12</v>
      </c>
      <c r="J4">
        <f>(H4-D4/6)^2</f>
        <v>113.77777777777777</v>
      </c>
    </row>
    <row r="5" spans="1:10" x14ac:dyDescent="0.2">
      <c r="B5" t="s">
        <v>491</v>
      </c>
      <c r="D5">
        <v>4</v>
      </c>
      <c r="F5">
        <v>10</v>
      </c>
      <c r="H5">
        <v>16</v>
      </c>
      <c r="J5">
        <f>(H5-D5/6)^2</f>
        <v>235.11111111111114</v>
      </c>
    </row>
    <row r="6" spans="1:10" x14ac:dyDescent="0.2">
      <c r="B6" t="s">
        <v>492</v>
      </c>
      <c r="D6">
        <v>4</v>
      </c>
      <c r="F6">
        <v>5</v>
      </c>
      <c r="H6">
        <v>6</v>
      </c>
      <c r="J6">
        <f t="shared" ref="J6:J11" si="0">(H6-D6/6)^2</f>
        <v>28.444444444444443</v>
      </c>
    </row>
    <row r="7" spans="1:10" x14ac:dyDescent="0.2">
      <c r="B7" t="s">
        <v>332</v>
      </c>
      <c r="D7">
        <v>6</v>
      </c>
      <c r="F7">
        <v>8</v>
      </c>
      <c r="H7">
        <v>10</v>
      </c>
      <c r="J7">
        <f t="shared" si="0"/>
        <v>81</v>
      </c>
    </row>
    <row r="8" spans="1:10" x14ac:dyDescent="0.2">
      <c r="B8" t="s">
        <v>493</v>
      </c>
      <c r="D8">
        <v>4</v>
      </c>
      <c r="F8">
        <v>7</v>
      </c>
      <c r="H8">
        <v>12</v>
      </c>
      <c r="J8">
        <f t="shared" si="0"/>
        <v>128.44444444444446</v>
      </c>
    </row>
    <row r="9" spans="1:10" x14ac:dyDescent="0.2">
      <c r="B9" t="s">
        <v>494</v>
      </c>
      <c r="D9">
        <v>6</v>
      </c>
      <c r="F9">
        <v>7</v>
      </c>
      <c r="H9">
        <v>9</v>
      </c>
      <c r="J9">
        <f t="shared" si="0"/>
        <v>64</v>
      </c>
    </row>
    <row r="10" spans="1:10" x14ac:dyDescent="0.2">
      <c r="B10" t="s">
        <v>495</v>
      </c>
      <c r="D10">
        <v>4</v>
      </c>
      <c r="F10">
        <v>8</v>
      </c>
      <c r="H10">
        <v>12</v>
      </c>
      <c r="J10">
        <f t="shared" si="0"/>
        <v>128.44444444444446</v>
      </c>
    </row>
    <row r="11" spans="1:10" x14ac:dyDescent="0.2">
      <c r="B11" t="s">
        <v>335</v>
      </c>
      <c r="D11">
        <v>3</v>
      </c>
      <c r="F11">
        <v>3</v>
      </c>
      <c r="H11">
        <v>3</v>
      </c>
      <c r="J11">
        <f t="shared" si="0"/>
        <v>6.25</v>
      </c>
    </row>
    <row r="12" spans="1:10" x14ac:dyDescent="0.2">
      <c r="J12">
        <f>SUM(J4:J11)</f>
        <v>785.47222222222229</v>
      </c>
    </row>
    <row r="15" spans="1:10" x14ac:dyDescent="0.2">
      <c r="A15" t="s">
        <v>497</v>
      </c>
      <c r="B15">
        <f>34-39/J12</f>
        <v>33.950348339639987</v>
      </c>
    </row>
    <row r="16" spans="1:10" s="1" customFormat="1" x14ac:dyDescent="0.2"/>
    <row r="17" spans="1:15" x14ac:dyDescent="0.2">
      <c r="A17" t="s">
        <v>498</v>
      </c>
    </row>
    <row r="18" spans="1:15" x14ac:dyDescent="0.2">
      <c r="B18" t="s">
        <v>499</v>
      </c>
      <c r="C18" t="s">
        <v>500</v>
      </c>
      <c r="E18" t="s">
        <v>501</v>
      </c>
      <c r="G18" t="s">
        <v>489</v>
      </c>
      <c r="J18" t="s">
        <v>502</v>
      </c>
      <c r="M18" t="s">
        <v>506</v>
      </c>
      <c r="O18" t="s">
        <v>508</v>
      </c>
    </row>
    <row r="19" spans="1:15" x14ac:dyDescent="0.2">
      <c r="B19" t="s">
        <v>490</v>
      </c>
      <c r="C19">
        <v>8</v>
      </c>
      <c r="E19">
        <v>10</v>
      </c>
      <c r="G19">
        <v>12</v>
      </c>
      <c r="J19" t="s">
        <v>504</v>
      </c>
      <c r="M19">
        <f>(C19+4*E19+G19)/6</f>
        <v>10</v>
      </c>
      <c r="O19">
        <v>0.25</v>
      </c>
    </row>
    <row r="20" spans="1:15" x14ac:dyDescent="0.2">
      <c r="B20" t="s">
        <v>491</v>
      </c>
      <c r="C20">
        <v>4</v>
      </c>
      <c r="E20">
        <v>10</v>
      </c>
      <c r="G20">
        <v>16</v>
      </c>
      <c r="J20" t="s">
        <v>503</v>
      </c>
      <c r="M20">
        <f t="shared" ref="M20:M28" si="1">(C20+4*E20+G20)/6</f>
        <v>10</v>
      </c>
      <c r="O20">
        <v>0.17</v>
      </c>
    </row>
    <row r="21" spans="1:15" x14ac:dyDescent="0.2">
      <c r="B21" t="s">
        <v>492</v>
      </c>
      <c r="C21">
        <v>4</v>
      </c>
      <c r="E21">
        <v>5</v>
      </c>
      <c r="G21">
        <v>6</v>
      </c>
      <c r="J21" t="s">
        <v>503</v>
      </c>
      <c r="M21">
        <f t="shared" si="1"/>
        <v>5</v>
      </c>
      <c r="O21">
        <v>0.25</v>
      </c>
    </row>
    <row r="22" spans="1:15" x14ac:dyDescent="0.2">
      <c r="B22" t="s">
        <v>332</v>
      </c>
      <c r="C22">
        <v>6</v>
      </c>
      <c r="E22">
        <v>8</v>
      </c>
      <c r="G22">
        <v>10</v>
      </c>
      <c r="J22" t="s">
        <v>505</v>
      </c>
      <c r="M22">
        <f>(C22+4*E22+G22)/6</f>
        <v>8</v>
      </c>
      <c r="O22">
        <v>0.69</v>
      </c>
    </row>
    <row r="23" spans="1:15" x14ac:dyDescent="0.2">
      <c r="B23" t="s">
        <v>493</v>
      </c>
      <c r="C23">
        <v>4</v>
      </c>
      <c r="E23">
        <v>7</v>
      </c>
      <c r="G23">
        <v>12</v>
      </c>
      <c r="J23" t="s">
        <v>505</v>
      </c>
      <c r="M23">
        <f t="shared" si="1"/>
        <v>7.333333333333333</v>
      </c>
      <c r="O23">
        <v>2.25</v>
      </c>
    </row>
    <row r="24" spans="1:15" x14ac:dyDescent="0.2">
      <c r="B24" t="s">
        <v>494</v>
      </c>
      <c r="C24">
        <v>6</v>
      </c>
      <c r="E24">
        <v>7</v>
      </c>
      <c r="G24">
        <v>9</v>
      </c>
      <c r="J24" t="s">
        <v>332</v>
      </c>
      <c r="M24">
        <f t="shared" si="1"/>
        <v>7.166666666666667</v>
      </c>
      <c r="O24">
        <v>0.69</v>
      </c>
    </row>
    <row r="25" spans="1:15" x14ac:dyDescent="0.2">
      <c r="B25" t="s">
        <v>495</v>
      </c>
      <c r="C25">
        <v>4</v>
      </c>
      <c r="E25">
        <v>8</v>
      </c>
      <c r="G25">
        <v>12</v>
      </c>
      <c r="J25" t="s">
        <v>493</v>
      </c>
      <c r="M25">
        <f t="shared" si="1"/>
        <v>8</v>
      </c>
      <c r="O25">
        <v>0.03</v>
      </c>
    </row>
    <row r="26" spans="1:15" x14ac:dyDescent="0.2">
      <c r="B26" t="s">
        <v>335</v>
      </c>
      <c r="C26">
        <v>3</v>
      </c>
      <c r="E26">
        <v>3</v>
      </c>
      <c r="G26">
        <v>3</v>
      </c>
      <c r="J26" t="s">
        <v>494</v>
      </c>
      <c r="M26">
        <f t="shared" si="1"/>
        <v>3</v>
      </c>
      <c r="O26">
        <v>0.11</v>
      </c>
    </row>
    <row r="28" spans="1:15" s="23" customFormat="1" x14ac:dyDescent="0.2"/>
    <row r="29" spans="1:15" s="23" customFormat="1" x14ac:dyDescent="0.2"/>
    <row r="30" spans="1:15" s="23" customFormat="1" x14ac:dyDescent="0.2">
      <c r="A30" s="23">
        <v>1</v>
      </c>
    </row>
    <row r="31" spans="1:15" s="23" customFormat="1" x14ac:dyDescent="0.2">
      <c r="A31" s="23">
        <v>2</v>
      </c>
    </row>
    <row r="32" spans="1:15" s="23" customFormat="1" x14ac:dyDescent="0.2">
      <c r="A32" s="23">
        <v>3</v>
      </c>
    </row>
    <row r="33" spans="1:6" s="23" customFormat="1" x14ac:dyDescent="0.2">
      <c r="A33" s="23">
        <v>4</v>
      </c>
    </row>
    <row r="34" spans="1:6" s="23" customFormat="1" x14ac:dyDescent="0.2"/>
    <row r="35" spans="1:6" s="23" customFormat="1" x14ac:dyDescent="0.2">
      <c r="A35" s="23" t="s">
        <v>507</v>
      </c>
      <c r="B35" s="23" t="s">
        <v>509</v>
      </c>
      <c r="C35" s="23">
        <f>(33-C31)/SQRT(C37)</f>
        <v>20.083160441856091</v>
      </c>
      <c r="E35" s="23" t="s">
        <v>510</v>
      </c>
      <c r="F35" s="23">
        <v>0.83650000000000002</v>
      </c>
    </row>
    <row r="36" spans="1:6" s="23" customFormat="1" x14ac:dyDescent="0.2">
      <c r="A36" s="23" t="s">
        <v>511</v>
      </c>
      <c r="C36" s="23">
        <f>(37-C31)/SQRT(C37)</f>
        <v>22.517482919656832</v>
      </c>
      <c r="F36" s="23">
        <f>0.9979</f>
        <v>0.99790000000000001</v>
      </c>
    </row>
    <row r="37" spans="1:6" s="23" customFormat="1" x14ac:dyDescent="0.2">
      <c r="A37" s="23" t="s">
        <v>508</v>
      </c>
      <c r="C37" s="23">
        <f>O19+O20+O23+O25+O27+O28</f>
        <v>2.6999999999999997</v>
      </c>
    </row>
    <row r="38" spans="1:6" s="23" customFormat="1" x14ac:dyDescent="0.2"/>
    <row r="39" spans="1:6" s="23" customFormat="1" x14ac:dyDescent="0.2"/>
    <row r="40" spans="1:6" s="23" customFormat="1" x14ac:dyDescent="0.2"/>
    <row r="41" spans="1:6" s="23" customFormat="1" x14ac:dyDescent="0.2"/>
    <row r="42" spans="1:6" s="23" customFormat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chapter 8</vt:lpstr>
      <vt:lpstr>chapter 9</vt:lpstr>
      <vt:lpstr>supplement B</vt:lpstr>
      <vt:lpstr>Chapter 6</vt:lpstr>
      <vt:lpstr>Chapter 12</vt:lpstr>
      <vt:lpstr>Chapter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Yahan Guo</cp:lastModifiedBy>
  <cp:revision/>
  <dcterms:created xsi:type="dcterms:W3CDTF">2023-02-21T21:02:03Z</dcterms:created>
  <dcterms:modified xsi:type="dcterms:W3CDTF">2023-05-27T17:25:27Z</dcterms:modified>
  <cp:category/>
  <cp:contentStatus/>
</cp:coreProperties>
</file>