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9984A47F-C92B-49E9-B04B-073B20EC5D60}" xr6:coauthVersionLast="41" xr6:coauthVersionMax="41" xr10:uidLastSave="{00000000-0000-0000-0000-000000000000}"/>
  <bookViews>
    <workbookView xWindow="-93" yWindow="-93" windowWidth="25786" windowHeight="13986" activeTab="2" xr2:uid="{00000000-000D-0000-FFFF-FFFF00000000}"/>
  </bookViews>
  <sheets>
    <sheet name="Sheet1" sheetId="1" r:id="rId1"/>
    <sheet name="Sheet2" sheetId="4" r:id="rId2"/>
    <sheet name="Sheet5" sheetId="5" r:id="rId3"/>
  </sheets>
  <definedNames>
    <definedName name="_xlchart.v1.0" hidden="1">Sheet5!$A$33:$A$42</definedName>
    <definedName name="_xlchart.v1.1" hidden="1">Sheet5!$B$33:$B$42</definedName>
    <definedName name="_xlchart.v1.10" hidden="1">Sheet5!$B$33:$B$42</definedName>
    <definedName name="_xlchart.v1.11" hidden="1">Sheet5!$B$33:$B$42</definedName>
    <definedName name="_xlchart.v1.2" hidden="1">Sheet5!$A$33:$A$42</definedName>
    <definedName name="_xlchart.v1.3" hidden="1">Sheet5!$B$33:$B$42</definedName>
    <definedName name="_xlchart.v1.4" hidden="1">Sheet5!$A$33:$A$42</definedName>
    <definedName name="_xlchart.v1.5" hidden="1">Sheet5!$B$33:$B$42</definedName>
    <definedName name="_xlchart.v1.6" hidden="1">Sheet5!$A$33:$A$42</definedName>
    <definedName name="_xlchart.v1.7" hidden="1">Sheet5!$B$33:$B$42</definedName>
    <definedName name="_xlchart.v1.8" hidden="1">Sheet5!$B$33:$B$42</definedName>
    <definedName name="_xlchart.v1.9" hidden="1">Sheet5!$A$33:$A$42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5" l="1"/>
  <c r="G27" i="5"/>
  <c r="D19" i="5"/>
  <c r="D22" i="5"/>
  <c r="D23" i="5"/>
  <c r="D25" i="5"/>
  <c r="D26" i="5"/>
  <c r="C24" i="5"/>
  <c r="D24" i="5" s="1"/>
  <c r="C19" i="5"/>
  <c r="C20" i="5"/>
  <c r="D20" i="5" s="1"/>
  <c r="C21" i="5"/>
  <c r="D21" i="5" s="1"/>
  <c r="C22" i="5"/>
  <c r="C23" i="5"/>
  <c r="C25" i="5"/>
  <c r="C26" i="5"/>
  <c r="C27" i="5"/>
  <c r="D27" i="5" s="1"/>
  <c r="C18" i="5"/>
  <c r="D18" i="5" s="1"/>
  <c r="S85" i="4"/>
  <c r="S84" i="4"/>
  <c r="P13" i="4"/>
  <c r="E13" i="5" l="1"/>
  <c r="E12" i="5"/>
  <c r="F6" i="5"/>
  <c r="D6" i="5"/>
  <c r="E11" i="5"/>
  <c r="F10" i="5" l="1"/>
  <c r="D7" i="5"/>
  <c r="I8" i="5" s="1"/>
  <c r="J8" i="5" s="1"/>
  <c r="K8" i="5" s="1"/>
  <c r="F9" i="5"/>
  <c r="F8" i="5"/>
  <c r="F7" i="5"/>
  <c r="D39" i="1"/>
  <c r="D40" i="1"/>
  <c r="D41" i="1"/>
  <c r="D42" i="1"/>
  <c r="D43" i="1"/>
  <c r="D44" i="1"/>
  <c r="D45" i="1"/>
  <c r="D46" i="1"/>
  <c r="D47" i="1"/>
  <c r="D48" i="1"/>
  <c r="D49" i="1"/>
  <c r="D50" i="1"/>
  <c r="J8" i="1"/>
  <c r="J9" i="1"/>
  <c r="J10" i="1"/>
  <c r="J11" i="1"/>
  <c r="J12" i="1"/>
  <c r="J13" i="1"/>
  <c r="J14" i="1"/>
  <c r="J15" i="1"/>
  <c r="J16" i="1"/>
  <c r="J17" i="1"/>
  <c r="J18" i="1"/>
  <c r="J7" i="1"/>
  <c r="C18" i="1"/>
  <c r="B19" i="1"/>
  <c r="B20" i="1"/>
  <c r="B21" i="1"/>
  <c r="B22" i="1"/>
  <c r="B23" i="1"/>
  <c r="B24" i="1"/>
  <c r="B25" i="1"/>
  <c r="B26" i="1"/>
  <c r="B27" i="1"/>
  <c r="B28" i="1"/>
  <c r="B29" i="1"/>
  <c r="B18" i="1"/>
  <c r="D16" i="1"/>
  <c r="E3" i="1"/>
  <c r="G3" i="1" s="1"/>
  <c r="E4" i="1"/>
  <c r="G4" i="1" s="1"/>
  <c r="E5" i="1"/>
  <c r="G5" i="1" s="1"/>
  <c r="E6" i="1"/>
  <c r="G6" i="1" s="1"/>
  <c r="E7" i="1"/>
  <c r="G7" i="1" s="1"/>
  <c r="E8" i="1"/>
  <c r="F8" i="1" s="1"/>
  <c r="E9" i="1"/>
  <c r="G9" i="1" s="1"/>
  <c r="E10" i="1"/>
  <c r="F10" i="1" s="1"/>
  <c r="E11" i="1"/>
  <c r="G11" i="1" s="1"/>
  <c r="E12" i="1"/>
  <c r="G12" i="1" s="1"/>
  <c r="E13" i="1"/>
  <c r="F13" i="1" s="1"/>
  <c r="E2" i="1"/>
  <c r="F2" i="1" s="1"/>
  <c r="K7" i="1" l="1"/>
  <c r="L7" i="1" s="1"/>
  <c r="G39" i="1"/>
  <c r="G2" i="1"/>
  <c r="C19" i="1"/>
  <c r="E18" i="1" s="1"/>
  <c r="J2" i="1" s="1"/>
  <c r="F9" i="1"/>
  <c r="F12" i="1"/>
  <c r="F11" i="1"/>
  <c r="G13" i="1"/>
  <c r="G10" i="1"/>
  <c r="F6" i="1"/>
  <c r="G8" i="1"/>
  <c r="F7" i="1"/>
  <c r="F4" i="1"/>
  <c r="F5" i="1"/>
  <c r="F3" i="1" l="1"/>
</calcChain>
</file>

<file path=xl/sharedStrings.xml><?xml version="1.0" encoding="utf-8"?>
<sst xmlns="http://schemas.openxmlformats.org/spreadsheetml/2006/main" count="147" uniqueCount="60">
  <si>
    <t>Standard Error</t>
  </si>
  <si>
    <t>D. distance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</si>
  <si>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</si>
  <si>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</si>
  <si>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</si>
  <si>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</si>
  <si>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</si>
  <si>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</si>
  <si>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</si>
  <si>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</si>
  <si>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</si>
  <si>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</si>
  <si>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</si>
  <si>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</si>
  <si>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</si>
  <si>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</si>
  <si>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</si>
  <si>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</si>
  <si>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</si>
  <si>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</si>
  <si>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</si>
  <si>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</si>
  <si>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</si>
  <si>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</si>
  <si>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</si>
  <si>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Residuals</t>
  </si>
  <si>
    <t>Lower 90.0%</t>
  </si>
  <si>
    <t>Upper 90.0%</t>
  </si>
  <si>
    <t>E2-(1.813)*(5.41223065842541)*SQRT(1+1/12+((D2-9.5)*(D2-9.5))/(34397.2741666667))</t>
  </si>
  <si>
    <t>Size</t>
  </si>
  <si>
    <t>distance</t>
  </si>
  <si>
    <t>Predicted Time</t>
  </si>
  <si>
    <t>Predicted response time</t>
  </si>
  <si>
    <t>TEST</t>
  </si>
  <si>
    <t>Driving Distance (Km)</t>
  </si>
  <si>
    <t>response time (ms)</t>
  </si>
  <si>
    <t>predicted response time</t>
  </si>
  <si>
    <t>predicted lower bound</t>
  </si>
  <si>
    <t>predicted upper bound</t>
  </si>
  <si>
    <t>predicted time</t>
  </si>
  <si>
    <t>measured time</t>
  </si>
  <si>
    <t>Column1</t>
  </si>
  <si>
    <t>Confidence Level(95.0%)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</si>
  <si>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</si>
  <si>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</si>
  <si>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</si>
  <si>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</si>
  <si>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</si>
  <si>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</si>
  <si>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</si>
  <si>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</si>
  <si>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</si>
  <si>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</si>
  <si>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</si>
  <si>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</si>
  <si>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Level(90.0%)</t>
  </si>
  <si>
    <t>Data transfering (MB)</t>
  </si>
  <si>
    <t>Distance (Km)</t>
  </si>
  <si>
    <t>predicted time (s)</t>
  </si>
  <si>
    <t>Speed of truck as to be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</si>
</sst>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"/>
      <color rgb="FF555555"/>
      <name val="Verdana"/>
      <family val="2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3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response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4773051725652448E-2"/>
                  <c:y val="-0.278467656144551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0.0571x + 0.2157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</c:f>
              <c:numCache>
                <c:formatCode>General</c:formatCode>
                <c:ptCount val="12"/>
                <c:pt idx="0">
                  <c:v>63.15</c:v>
                </c:pt>
                <c:pt idx="1">
                  <c:v>106.96</c:v>
                </c:pt>
                <c:pt idx="2">
                  <c:v>110.69</c:v>
                </c:pt>
                <c:pt idx="3">
                  <c:v>138.91999999999999</c:v>
                </c:pt>
                <c:pt idx="4">
                  <c:v>149.53</c:v>
                </c:pt>
                <c:pt idx="5">
                  <c:v>142.09</c:v>
                </c:pt>
                <c:pt idx="6">
                  <c:v>154.65</c:v>
                </c:pt>
                <c:pt idx="7">
                  <c:v>189.62</c:v>
                </c:pt>
                <c:pt idx="8">
                  <c:v>210.74</c:v>
                </c:pt>
                <c:pt idx="9">
                  <c:v>211.62</c:v>
                </c:pt>
                <c:pt idx="10">
                  <c:v>215.86</c:v>
                </c:pt>
                <c:pt idx="11">
                  <c:v>258.58999999999997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8</c:v>
                </c:pt>
                <c:pt idx="9">
                  <c:v>25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1-4384-94DA-0CEE3973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350256"/>
        <c:axId val="1664773488"/>
      </c:scatterChart>
      <c:valAx>
        <c:axId val="160735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= Distance to Server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773488"/>
        <c:crosses val="autoZero"/>
        <c:crossBetween val="midCat"/>
      </c:valAx>
      <c:valAx>
        <c:axId val="166477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= network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5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Sheet1!$Q$61:$Q$72</c:f>
              <c:numCache>
                <c:formatCode>General</c:formatCode>
                <c:ptCount val="12"/>
                <c:pt idx="0">
                  <c:v>63.15</c:v>
                </c:pt>
                <c:pt idx="1">
                  <c:v>106.96</c:v>
                </c:pt>
                <c:pt idx="2">
                  <c:v>110.69</c:v>
                </c:pt>
                <c:pt idx="3">
                  <c:v>138.91999999999999</c:v>
                </c:pt>
                <c:pt idx="4">
                  <c:v>149.53</c:v>
                </c:pt>
                <c:pt idx="5">
                  <c:v>142.09</c:v>
                </c:pt>
                <c:pt idx="6">
                  <c:v>154.65</c:v>
                </c:pt>
                <c:pt idx="7">
                  <c:v>189.62</c:v>
                </c:pt>
                <c:pt idx="8">
                  <c:v>210.74</c:v>
                </c:pt>
                <c:pt idx="9">
                  <c:v>211.62</c:v>
                </c:pt>
                <c:pt idx="10">
                  <c:v>215.86</c:v>
                </c:pt>
                <c:pt idx="11">
                  <c:v>258.58999999999997</c:v>
                </c:pt>
              </c:numCache>
            </c:numRef>
          </c:xVal>
          <c:yVal>
            <c:numRef>
              <c:f>Sheet1!$R$61:$R$72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8</c:v>
                </c:pt>
                <c:pt idx="9">
                  <c:v>25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E-456E-B04D-0FF28BF505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Sheet1!$Q$61:$Q$72</c:f>
              <c:numCache>
                <c:formatCode>General</c:formatCode>
                <c:ptCount val="12"/>
                <c:pt idx="0">
                  <c:v>63.15</c:v>
                </c:pt>
                <c:pt idx="1">
                  <c:v>106.96</c:v>
                </c:pt>
                <c:pt idx="2">
                  <c:v>110.69</c:v>
                </c:pt>
                <c:pt idx="3">
                  <c:v>138.91999999999999</c:v>
                </c:pt>
                <c:pt idx="4">
                  <c:v>149.53</c:v>
                </c:pt>
                <c:pt idx="5">
                  <c:v>142.09</c:v>
                </c:pt>
                <c:pt idx="6">
                  <c:v>154.65</c:v>
                </c:pt>
                <c:pt idx="7">
                  <c:v>189.62</c:v>
                </c:pt>
                <c:pt idx="8">
                  <c:v>210.74</c:v>
                </c:pt>
                <c:pt idx="9">
                  <c:v>211.62</c:v>
                </c:pt>
                <c:pt idx="10">
                  <c:v>215.86</c:v>
                </c:pt>
                <c:pt idx="11">
                  <c:v>258.58999999999997</c:v>
                </c:pt>
              </c:numCache>
            </c:numRef>
          </c:xVal>
          <c:yVal>
            <c:numRef>
              <c:f>Sheet1!$S$61:$S$72</c:f>
              <c:numCache>
                <c:formatCode>General</c:formatCode>
                <c:ptCount val="12"/>
                <c:pt idx="0">
                  <c:v>-6.3942524860527357</c:v>
                </c:pt>
                <c:pt idx="1">
                  <c:v>-3.8927014860527356</c:v>
                </c:pt>
                <c:pt idx="2">
                  <c:v>-3.6772521855849449</c:v>
                </c:pt>
                <c:pt idx="3">
                  <c:v>-2.066689426027251</c:v>
                </c:pt>
                <c:pt idx="4">
                  <c:v>-1.4608584260272508</c:v>
                </c:pt>
                <c:pt idx="5">
                  <c:v>-1.8843121855849443</c:v>
                </c:pt>
                <c:pt idx="6">
                  <c:v>-1.1696024860527352</c:v>
                </c:pt>
                <c:pt idx="7">
                  <c:v>0.82006298820672008</c:v>
                </c:pt>
                <c:pt idx="8">
                  <c:v>2.0356028144150553</c:v>
                </c:pt>
                <c:pt idx="9">
                  <c:v>2.0532888110324983</c:v>
                </c:pt>
                <c:pt idx="10">
                  <c:v>2.3282288845641617</c:v>
                </c:pt>
                <c:pt idx="11">
                  <c:v>4.7681118845641599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DE-456E-B04D-0FF28BF505C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Sheet1!$Q$61:$Q$72</c:f>
              <c:numCache>
                <c:formatCode>General</c:formatCode>
                <c:ptCount val="12"/>
                <c:pt idx="0">
                  <c:v>63.15</c:v>
                </c:pt>
                <c:pt idx="1">
                  <c:v>106.96</c:v>
                </c:pt>
                <c:pt idx="2">
                  <c:v>110.69</c:v>
                </c:pt>
                <c:pt idx="3">
                  <c:v>138.91999999999999</c:v>
                </c:pt>
                <c:pt idx="4">
                  <c:v>149.53</c:v>
                </c:pt>
                <c:pt idx="5">
                  <c:v>142.09</c:v>
                </c:pt>
                <c:pt idx="6">
                  <c:v>154.65</c:v>
                </c:pt>
                <c:pt idx="7">
                  <c:v>189.62</c:v>
                </c:pt>
                <c:pt idx="8">
                  <c:v>210.74</c:v>
                </c:pt>
                <c:pt idx="9">
                  <c:v>211.62</c:v>
                </c:pt>
                <c:pt idx="10">
                  <c:v>215.86</c:v>
                </c:pt>
                <c:pt idx="11">
                  <c:v>258.58999999999997</c:v>
                </c:pt>
              </c:numCache>
            </c:numRef>
          </c:xVal>
          <c:yVal>
            <c:numRef>
              <c:f>Sheet1!$T$61:$T$72</c:f>
              <c:numCache>
                <c:formatCode>General</c:formatCode>
                <c:ptCount val="12"/>
                <c:pt idx="0">
                  <c:v>14.037382486052735</c:v>
                </c:pt>
                <c:pt idx="1">
                  <c:v>16.538933486052734</c:v>
                </c:pt>
                <c:pt idx="2">
                  <c:v>16.749450185584944</c:v>
                </c:pt>
                <c:pt idx="3">
                  <c:v>18.362753426027247</c:v>
                </c:pt>
                <c:pt idx="4">
                  <c:v>18.968584426027249</c:v>
                </c:pt>
                <c:pt idx="5">
                  <c:v>18.542390185584942</c:v>
                </c:pt>
                <c:pt idx="6">
                  <c:v>19.262032486052735</c:v>
                </c:pt>
                <c:pt idx="7">
                  <c:v>21.265941011793281</c:v>
                </c:pt>
                <c:pt idx="8">
                  <c:v>22.462305185584945</c:v>
                </c:pt>
                <c:pt idx="9">
                  <c:v>22.5451151889675</c:v>
                </c:pt>
                <c:pt idx="10">
                  <c:v>22.754383115435839</c:v>
                </c:pt>
                <c:pt idx="11">
                  <c:v>25.194266115435838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DE-456E-B04D-0FF28BF5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20479"/>
        <c:axId val="1371058783"/>
      </c:scatterChart>
      <c:valAx>
        <c:axId val="94412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Distance to Server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58783"/>
        <c:crosses val="autoZero"/>
        <c:crossBetween val="midCat"/>
      </c:valAx>
      <c:valAx>
        <c:axId val="137105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network latency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12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19050">
              <a:noFill/>
            </a:ln>
          </c:spPr>
          <c:xVal>
            <c:numRef>
              <c:f>Sheet2!$F$2:$F$29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</c:numCache>
            </c:numRef>
          </c:xVal>
          <c:yVal>
            <c:numRef>
              <c:f>Sheet2!$I$2:$I$29</c:f>
              <c:numCache>
                <c:formatCode>General</c:formatCode>
                <c:ptCount val="2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1.1000000000000001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1.4</c:v>
                </c:pt>
                <c:pt idx="12">
                  <c:v>1.4</c:v>
                </c:pt>
                <c:pt idx="13">
                  <c:v>1.7</c:v>
                </c:pt>
                <c:pt idx="14">
                  <c:v>4.9000000000000004</c:v>
                </c:pt>
                <c:pt idx="15">
                  <c:v>5.0999999999999996</c:v>
                </c:pt>
                <c:pt idx="16">
                  <c:v>6.3</c:v>
                </c:pt>
                <c:pt idx="17">
                  <c:v>6.7</c:v>
                </c:pt>
                <c:pt idx="18">
                  <c:v>7</c:v>
                </c:pt>
                <c:pt idx="19">
                  <c:v>7.4</c:v>
                </c:pt>
                <c:pt idx="20">
                  <c:v>7.9</c:v>
                </c:pt>
                <c:pt idx="21">
                  <c:v>40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55-4545-AF7F-0AD25B77C297}"/>
            </c:ext>
          </c:extLst>
        </c:ser>
        <c:ser>
          <c:idx val="1"/>
          <c:order val="1"/>
          <c:tx>
            <c:v>Predicted Time</c:v>
          </c:tx>
          <c:spPr>
            <a:ln w="19050">
              <a:noFill/>
            </a:ln>
          </c:spPr>
          <c:xVal>
            <c:numRef>
              <c:f>Sheet2!$F$2:$F$29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</c:numCache>
            </c:numRef>
          </c:xVal>
          <c:yVal>
            <c:numRef>
              <c:f>Sheet2!$M$39:$M$66</c:f>
              <c:numCache>
                <c:formatCode>General</c:formatCode>
                <c:ptCount val="28"/>
                <c:pt idx="0">
                  <c:v>0.52921488750119039</c:v>
                </c:pt>
                <c:pt idx="1">
                  <c:v>1.0630530645638725</c:v>
                </c:pt>
                <c:pt idx="2">
                  <c:v>2.1358797466965989</c:v>
                </c:pt>
                <c:pt idx="3">
                  <c:v>0.52538553699427659</c:v>
                </c:pt>
                <c:pt idx="4">
                  <c:v>1.7612861494349978</c:v>
                </c:pt>
                <c:pt idx="5">
                  <c:v>0.76338412373212172</c:v>
                </c:pt>
                <c:pt idx="6">
                  <c:v>1.4136909574915215</c:v>
                </c:pt>
                <c:pt idx="7">
                  <c:v>1.1871151598927963</c:v>
                </c:pt>
                <c:pt idx="8">
                  <c:v>0.94911657315495113</c:v>
                </c:pt>
                <c:pt idx="9">
                  <c:v>0.95294592366186492</c:v>
                </c:pt>
                <c:pt idx="10">
                  <c:v>2.5596107828572734</c:v>
                </c:pt>
                <c:pt idx="11">
                  <c:v>1.486784100724547</c:v>
                </c:pt>
                <c:pt idx="12">
                  <c:v>2.1850171855956724</c:v>
                </c:pt>
                <c:pt idx="13">
                  <c:v>1.8374219936521961</c:v>
                </c:pt>
                <c:pt idx="14">
                  <c:v>6.4223275472024302</c:v>
                </c:pt>
                <c:pt idx="15">
                  <c:v>5.1864269347617089</c:v>
                </c:pt>
                <c:pt idx="16">
                  <c:v>6.0747323552589538</c:v>
                </c:pt>
                <c:pt idx="17">
                  <c:v>5.7240944623313048</c:v>
                </c:pt>
                <c:pt idx="18">
                  <c:v>5.424425521499554</c:v>
                </c:pt>
                <c:pt idx="19">
                  <c:v>5.1902562852686227</c:v>
                </c:pt>
                <c:pt idx="20">
                  <c:v>6.7969211444640312</c:v>
                </c:pt>
                <c:pt idx="21">
                  <c:v>47.797529137567132</c:v>
                </c:pt>
                <c:pt idx="22">
                  <c:v>47.559530550829287</c:v>
                </c:pt>
                <c:pt idx="23">
                  <c:v>48.79543116327001</c:v>
                </c:pt>
                <c:pt idx="24">
                  <c:v>48.097198078398883</c:v>
                </c:pt>
                <c:pt idx="25">
                  <c:v>47.563359901336199</c:v>
                </c:pt>
                <c:pt idx="26">
                  <c:v>49.170024760531604</c:v>
                </c:pt>
                <c:pt idx="27">
                  <c:v>48.447835971326526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55-4545-AF7F-0AD25B77C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4592"/>
        <c:axId val="1664775152"/>
      </c:scatterChart>
      <c:valAx>
        <c:axId val="160028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775152"/>
        <c:crosses val="autoZero"/>
        <c:crossBetween val="midCat"/>
      </c:valAx>
      <c:valAx>
        <c:axId val="166477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284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spPr>
            <a:ln w="19050">
              <a:noFill/>
            </a:ln>
          </c:spPr>
          <c:xVal>
            <c:numRef>
              <c:f>Sheet2!$G$2:$G$29</c:f>
              <c:numCache>
                <c:formatCode>General</c:formatCode>
                <c:ptCount val="28"/>
                <c:pt idx="0">
                  <c:v>6684.45</c:v>
                </c:pt>
                <c:pt idx="1">
                  <c:v>7044.12</c:v>
                </c:pt>
                <c:pt idx="2">
                  <c:v>7766.93</c:v>
                </c:pt>
                <c:pt idx="3">
                  <c:v>6681.87</c:v>
                </c:pt>
                <c:pt idx="4">
                  <c:v>7514.55</c:v>
                </c:pt>
                <c:pt idx="5">
                  <c:v>6842.22</c:v>
                </c:pt>
                <c:pt idx="6">
                  <c:v>7280.36</c:v>
                </c:pt>
                <c:pt idx="7">
                  <c:v>6842.22</c:v>
                </c:pt>
                <c:pt idx="8">
                  <c:v>6681.87</c:v>
                </c:pt>
                <c:pt idx="9">
                  <c:v>6684.45</c:v>
                </c:pt>
                <c:pt idx="10">
                  <c:v>7766.93</c:v>
                </c:pt>
                <c:pt idx="11">
                  <c:v>7044.12</c:v>
                </c:pt>
                <c:pt idx="12">
                  <c:v>7514.55</c:v>
                </c:pt>
                <c:pt idx="13">
                  <c:v>7280.36</c:v>
                </c:pt>
                <c:pt idx="14">
                  <c:v>7514.55</c:v>
                </c:pt>
                <c:pt idx="15">
                  <c:v>6681.87</c:v>
                </c:pt>
                <c:pt idx="16">
                  <c:v>7280.36</c:v>
                </c:pt>
                <c:pt idx="17">
                  <c:v>7044.12</c:v>
                </c:pt>
                <c:pt idx="18">
                  <c:v>6842.22</c:v>
                </c:pt>
                <c:pt idx="19">
                  <c:v>6684.45</c:v>
                </c:pt>
                <c:pt idx="20">
                  <c:v>7766.93</c:v>
                </c:pt>
                <c:pt idx="21">
                  <c:v>6842.22</c:v>
                </c:pt>
                <c:pt idx="22">
                  <c:v>6681.87</c:v>
                </c:pt>
                <c:pt idx="23">
                  <c:v>7514.55</c:v>
                </c:pt>
                <c:pt idx="24">
                  <c:v>7044.12</c:v>
                </c:pt>
                <c:pt idx="25">
                  <c:v>6684.45</c:v>
                </c:pt>
                <c:pt idx="26">
                  <c:v>7766.93</c:v>
                </c:pt>
                <c:pt idx="27">
                  <c:v>7280.36</c:v>
                </c:pt>
              </c:numCache>
            </c:numRef>
          </c:xVal>
          <c:yVal>
            <c:numRef>
              <c:f>Sheet2!$I$2:$I$29</c:f>
              <c:numCache>
                <c:formatCode>General</c:formatCode>
                <c:ptCount val="2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1.1000000000000001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1.4</c:v>
                </c:pt>
                <c:pt idx="12">
                  <c:v>1.4</c:v>
                </c:pt>
                <c:pt idx="13">
                  <c:v>1.7</c:v>
                </c:pt>
                <c:pt idx="14">
                  <c:v>4.9000000000000004</c:v>
                </c:pt>
                <c:pt idx="15">
                  <c:v>5.0999999999999996</c:v>
                </c:pt>
                <c:pt idx="16">
                  <c:v>6.3</c:v>
                </c:pt>
                <c:pt idx="17">
                  <c:v>6.7</c:v>
                </c:pt>
                <c:pt idx="18">
                  <c:v>7</c:v>
                </c:pt>
                <c:pt idx="19">
                  <c:v>7.4</c:v>
                </c:pt>
                <c:pt idx="20">
                  <c:v>7.9</c:v>
                </c:pt>
                <c:pt idx="21">
                  <c:v>40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93-40B6-9652-D41C3B001D9B}"/>
            </c:ext>
          </c:extLst>
        </c:ser>
        <c:ser>
          <c:idx val="1"/>
          <c:order val="1"/>
          <c:tx>
            <c:v>Predicted Time</c:v>
          </c:tx>
          <c:spPr>
            <a:ln w="19050">
              <a:noFill/>
            </a:ln>
          </c:spPr>
          <c:xVal>
            <c:numRef>
              <c:f>Sheet2!$G$2:$G$29</c:f>
              <c:numCache>
                <c:formatCode>General</c:formatCode>
                <c:ptCount val="28"/>
                <c:pt idx="0">
                  <c:v>6684.45</c:v>
                </c:pt>
                <c:pt idx="1">
                  <c:v>7044.12</c:v>
                </c:pt>
                <c:pt idx="2">
                  <c:v>7766.93</c:v>
                </c:pt>
                <c:pt idx="3">
                  <c:v>6681.87</c:v>
                </c:pt>
                <c:pt idx="4">
                  <c:v>7514.55</c:v>
                </c:pt>
                <c:pt idx="5">
                  <c:v>6842.22</c:v>
                </c:pt>
                <c:pt idx="6">
                  <c:v>7280.36</c:v>
                </c:pt>
                <c:pt idx="7">
                  <c:v>6842.22</c:v>
                </c:pt>
                <c:pt idx="8">
                  <c:v>6681.87</c:v>
                </c:pt>
                <c:pt idx="9">
                  <c:v>6684.45</c:v>
                </c:pt>
                <c:pt idx="10">
                  <c:v>7766.93</c:v>
                </c:pt>
                <c:pt idx="11">
                  <c:v>7044.12</c:v>
                </c:pt>
                <c:pt idx="12">
                  <c:v>7514.55</c:v>
                </c:pt>
                <c:pt idx="13">
                  <c:v>7280.36</c:v>
                </c:pt>
                <c:pt idx="14">
                  <c:v>7514.55</c:v>
                </c:pt>
                <c:pt idx="15">
                  <c:v>6681.87</c:v>
                </c:pt>
                <c:pt idx="16">
                  <c:v>7280.36</c:v>
                </c:pt>
                <c:pt idx="17">
                  <c:v>7044.12</c:v>
                </c:pt>
                <c:pt idx="18">
                  <c:v>6842.22</c:v>
                </c:pt>
                <c:pt idx="19">
                  <c:v>6684.45</c:v>
                </c:pt>
                <c:pt idx="20">
                  <c:v>7766.93</c:v>
                </c:pt>
                <c:pt idx="21">
                  <c:v>6842.22</c:v>
                </c:pt>
                <c:pt idx="22">
                  <c:v>6681.87</c:v>
                </c:pt>
                <c:pt idx="23">
                  <c:v>7514.55</c:v>
                </c:pt>
                <c:pt idx="24">
                  <c:v>7044.12</c:v>
                </c:pt>
                <c:pt idx="25">
                  <c:v>6684.45</c:v>
                </c:pt>
                <c:pt idx="26">
                  <c:v>7766.93</c:v>
                </c:pt>
                <c:pt idx="27">
                  <c:v>7280.36</c:v>
                </c:pt>
              </c:numCache>
            </c:numRef>
          </c:xVal>
          <c:yVal>
            <c:numRef>
              <c:f>Sheet2!$M$39:$M$66</c:f>
              <c:numCache>
                <c:formatCode>General</c:formatCode>
                <c:ptCount val="28"/>
                <c:pt idx="0">
                  <c:v>0.52921488750119039</c:v>
                </c:pt>
                <c:pt idx="1">
                  <c:v>1.0630530645638725</c:v>
                </c:pt>
                <c:pt idx="2">
                  <c:v>2.1358797466965989</c:v>
                </c:pt>
                <c:pt idx="3">
                  <c:v>0.52538553699427659</c:v>
                </c:pt>
                <c:pt idx="4">
                  <c:v>1.7612861494349978</c:v>
                </c:pt>
                <c:pt idx="5">
                  <c:v>0.76338412373212172</c:v>
                </c:pt>
                <c:pt idx="6">
                  <c:v>1.4136909574915215</c:v>
                </c:pt>
                <c:pt idx="7">
                  <c:v>1.1871151598927963</c:v>
                </c:pt>
                <c:pt idx="8">
                  <c:v>0.94911657315495113</c:v>
                </c:pt>
                <c:pt idx="9">
                  <c:v>0.95294592366186492</c:v>
                </c:pt>
                <c:pt idx="10">
                  <c:v>2.5596107828572734</c:v>
                </c:pt>
                <c:pt idx="11">
                  <c:v>1.486784100724547</c:v>
                </c:pt>
                <c:pt idx="12">
                  <c:v>2.1850171855956724</c:v>
                </c:pt>
                <c:pt idx="13">
                  <c:v>1.8374219936521961</c:v>
                </c:pt>
                <c:pt idx="14">
                  <c:v>6.4223275472024302</c:v>
                </c:pt>
                <c:pt idx="15">
                  <c:v>5.1864269347617089</c:v>
                </c:pt>
                <c:pt idx="16">
                  <c:v>6.0747323552589538</c:v>
                </c:pt>
                <c:pt idx="17">
                  <c:v>5.7240944623313048</c:v>
                </c:pt>
                <c:pt idx="18">
                  <c:v>5.424425521499554</c:v>
                </c:pt>
                <c:pt idx="19">
                  <c:v>5.1902562852686227</c:v>
                </c:pt>
                <c:pt idx="20">
                  <c:v>6.7969211444640312</c:v>
                </c:pt>
                <c:pt idx="21">
                  <c:v>47.797529137567132</c:v>
                </c:pt>
                <c:pt idx="22">
                  <c:v>47.559530550829287</c:v>
                </c:pt>
                <c:pt idx="23">
                  <c:v>48.79543116327001</c:v>
                </c:pt>
                <c:pt idx="24">
                  <c:v>48.097198078398883</c:v>
                </c:pt>
                <c:pt idx="25">
                  <c:v>47.563359901336199</c:v>
                </c:pt>
                <c:pt idx="26">
                  <c:v>49.170024760531604</c:v>
                </c:pt>
                <c:pt idx="27">
                  <c:v>48.447835971326526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93-40B6-9652-D41C3B001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284592"/>
        <c:axId val="1664779312"/>
      </c:scatterChart>
      <c:valAx>
        <c:axId val="160028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4779312"/>
        <c:crosses val="autoZero"/>
        <c:crossBetween val="midCat"/>
      </c:valAx>
      <c:valAx>
        <c:axId val="1664779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02845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time (h)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Sheet5!$B$33:$B$42</c:f>
              <c:numCache>
                <c:formatCode>General</c:formatCode>
                <c:ptCount val="10"/>
                <c:pt idx="0">
                  <c:v>1.5900262395364643E-3</c:v>
                </c:pt>
                <c:pt idx="1">
                  <c:v>1.3360332799555241E-2</c:v>
                </c:pt>
                <c:pt idx="2">
                  <c:v>0.13106339839974299</c:v>
                </c:pt>
                <c:pt idx="3">
                  <c:v>1.3080940544016206</c:v>
                </c:pt>
                <c:pt idx="4">
                  <c:v>13.078400614420397</c:v>
                </c:pt>
                <c:pt idx="5">
                  <c:v>130.78146621460814</c:v>
                </c:pt>
                <c:pt idx="6">
                  <c:v>1307.8121222164857</c:v>
                </c:pt>
                <c:pt idx="7">
                  <c:v>13078.118682235263</c:v>
                </c:pt>
                <c:pt idx="8">
                  <c:v>130781.18428242303</c:v>
                </c:pt>
                <c:pt idx="9">
                  <c:v>1307811.8402843007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0-4E89-8F40-F641C25C9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458815"/>
        <c:axId val="1552381167"/>
      </c:lineChart>
      <c:catAx>
        <c:axId val="11034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81167"/>
        <c:crosses val="autoZero"/>
        <c:auto val="1"/>
        <c:lblAlgn val="ctr"/>
        <c:lblOffset val="100"/>
        <c:noMultiLvlLbl val="0"/>
      </c:catAx>
      <c:valAx>
        <c:axId val="15523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45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394072</xdr:colOff>
      <xdr:row>7</xdr:row>
      <xdr:rowOff>150159</xdr:rowOff>
    </xdr:from>
    <xdr:to>
      <xdr:col>21</xdr:col>
      <xdr:colOff>517960</xdr:colOff>
      <xdr:row>24</xdr:row>
      <xdr:rowOff>154392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9847EF-2605-449E-AE29-F1D80497D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190263</xdr:colOff>
      <xdr:row>24</xdr:row>
      <xdr:rowOff>109400</xdr:rowOff>
    </xdr:from>
    <xdr:to>
      <xdr:col>21</xdr:col>
      <xdr:colOff>613597</xdr:colOff>
      <xdr:row>50</xdr:row>
      <xdr:rowOff>118913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46898-EE25-49FA-8B14-4F6068917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258233</xdr:colOff>
      <xdr:row>13</xdr:row>
      <xdr:rowOff>177800</xdr:rowOff>
    </xdr:from>
    <xdr:to>
      <xdr:col>26</xdr:col>
      <xdr:colOff>258233</xdr:colOff>
      <xdr:row>23</xdr:row>
      <xdr:rowOff>177799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7EC6CF-5977-4DBC-8A4D-BF72AEFDE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258234</xdr:colOff>
      <xdr:row>15</xdr:row>
      <xdr:rowOff>177800</xdr:rowOff>
    </xdr:from>
    <xdr:to>
      <xdr:col>27</xdr:col>
      <xdr:colOff>258234</xdr:colOff>
      <xdr:row>25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DA5C95-BA1E-4A33-8EF2-E4059AA94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27860</xdr:colOff>
      <xdr:row>21</xdr:row>
      <xdr:rowOff>99211</xdr:rowOff>
    </xdr:from>
    <xdr:to>
      <xdr:col>10</xdr:col>
      <xdr:colOff>91541</xdr:colOff>
      <xdr:row>36</xdr:row>
      <xdr:rowOff>121500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74CA35-6348-45B0-9CC1-1E29CE771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9"/>
  <sheetViews>
    <sheetView zoomScale="89" zoomScaleNormal="85" workbookViewId="0">
      <selection activeCell="C1" sqref="C1:G13"/>
    </sheetView>
  </sheetViews>
  <sheetFormatPr defaultRowHeight="14.35" x14ac:dyDescent="0.5"/>
  <cols>
    <col min="3" max="3" width="14.05859375" customWidth="1"/>
    <col min="5" max="5" width="13.87890625" customWidth="1"/>
    <col min="6" max="6" width="12.17578125" customWidth="1"/>
    <col min="7" max="7" width="12.5859375" customWidth="1"/>
    <col min="12" max="12" width="11.64453125" bestFit="1" customWidth="1"/>
  </cols>
  <sheetData>
    <row r="1" spans="3:16" x14ac:dyDescent="0.5">
      <c r="C1" t="s">
        <v>34</v>
      </c>
      <c r="D1" t="s">
        <v>35</v>
      </c>
      <c r="E1" t="s">
        <v>36</v>
      </c>
      <c r="F1" t="s">
        <v>37</v>
      </c>
      <c r="G1" t="s">
        <v>38</v>
      </c>
    </row>
    <row r="2" spans="3:16" x14ac:dyDescent="0.5">
      <c r="C2">
        <v>63.15</v>
      </c>
      <c r="D2">
        <v>5</v>
      </c>
      <c r="E2">
        <f>0.0571*(C2) + 0.2157</f>
        <v>3.8215649999999997</v>
      </c>
      <c r="F2">
        <f xml:space="preserve"> E2-(1.813)*(5.41223065842541)*SQRT(1+1/12+((D2-9.5)*(D2-9.5))/(34397.2741666667))</f>
        <v>-6.3942524860527357</v>
      </c>
      <c r="G2">
        <f xml:space="preserve"> E2+(1.813)*(5.41223065842541)*SQRT(1+1/12+((D2-9.5)*(D2-9.5))/(34397.2741666667))</f>
        <v>14.037382486052735</v>
      </c>
      <c r="I2">
        <v>405</v>
      </c>
      <c r="J2">
        <f>E18*0.0571</f>
        <v>112.07759300000009</v>
      </c>
      <c r="K2">
        <v>5.4122306584254103</v>
      </c>
      <c r="P2" t="s">
        <v>28</v>
      </c>
    </row>
    <row r="3" spans="3:16" x14ac:dyDescent="0.5">
      <c r="C3">
        <v>106.96</v>
      </c>
      <c r="D3">
        <v>5</v>
      </c>
      <c r="E3">
        <f t="shared" ref="E3:E13" si="0">0.0571*(C3) + 0.2157</f>
        <v>6.3231159999999997</v>
      </c>
      <c r="F3">
        <f xml:space="preserve"> E3-(1.813)*(5.41223065842541)*SQRT(1+1/12+((D3-9.5)*(D3-9.5))/(K7))</f>
        <v>-3.8927014860527356</v>
      </c>
      <c r="G3">
        <f xml:space="preserve"> E3+(1.813)*(5.41223065842541)*SQRT(1+1/12+((D3-9.5)*(D3-9.5))/(34397.2741666667))</f>
        <v>16.538933486052734</v>
      </c>
    </row>
    <row r="4" spans="3:16" x14ac:dyDescent="0.5">
      <c r="C4">
        <v>110.69</v>
      </c>
      <c r="D4">
        <v>8</v>
      </c>
      <c r="E4">
        <f t="shared" si="0"/>
        <v>6.5360989999999992</v>
      </c>
      <c r="F4">
        <f xml:space="preserve"> E4-(1.813)*(5.41223065842541)*SQRT(1+1/12+((D4-9.5)*(D4-9.5))/(34397.2741666667))</f>
        <v>-3.6772521855849449</v>
      </c>
      <c r="G4">
        <f xml:space="preserve"> E4+(1.813)*(5.41223065842541)*SQRT(1+1/12+((D4-9.5)*(D4-9.5))/(34397.2741666667))</f>
        <v>16.749450185584944</v>
      </c>
    </row>
    <row r="5" spans="3:16" x14ac:dyDescent="0.5">
      <c r="C5">
        <v>138.91999999999999</v>
      </c>
      <c r="D5">
        <v>6</v>
      </c>
      <c r="E5">
        <f t="shared" si="0"/>
        <v>8.1480319999999988</v>
      </c>
      <c r="F5">
        <f xml:space="preserve"> E5-(1.813)*(5.41223065842541)*SQRT(1+1/12+((D5-9.5)*(D5-9.5))/(34397.2741666667))</f>
        <v>-2.066689426027251</v>
      </c>
      <c r="G5">
        <f xml:space="preserve"> E5+(1.813)*(5.41223065842541)*SQRT(1+1/12+((D5-9.5)*(D5-9.5))/(34397.2741666667))</f>
        <v>18.362753426027247</v>
      </c>
    </row>
    <row r="6" spans="3:16" x14ac:dyDescent="0.5">
      <c r="C6">
        <v>149.53</v>
      </c>
      <c r="D6">
        <v>6</v>
      </c>
      <c r="E6">
        <f t="shared" si="0"/>
        <v>8.7538629999999991</v>
      </c>
      <c r="F6">
        <f xml:space="preserve"> E6-(1.813)*(5.41223065842541)*SQRT(1+1/12+((D6-9.5)*(D6-9.5))/(34397.2741666667))</f>
        <v>-1.4608584260272508</v>
      </c>
      <c r="G6">
        <f xml:space="preserve"> E6+(1.813)*(5.41223065842541)*SQRT(1+1/12+((D6-9.5)*(D6-9.5))/(34397.2741666667))</f>
        <v>18.968584426027249</v>
      </c>
    </row>
    <row r="7" spans="3:16" x14ac:dyDescent="0.5">
      <c r="C7">
        <v>142.09</v>
      </c>
      <c r="D7">
        <v>8</v>
      </c>
      <c r="E7">
        <f t="shared" si="0"/>
        <v>8.3290389999999999</v>
      </c>
      <c r="F7">
        <f xml:space="preserve"> E7-(1.813)*(5.41223065842541)*SQRT(1+1/12+((D7-9.5)*(D7-9.5))/(34397.2741666667))</f>
        <v>-1.8843121855849443</v>
      </c>
      <c r="G7">
        <f xml:space="preserve"> E7+(1.813)*(5.41223065842541)*SQRT(1+1/12+((D7-9.5)*(D7-9.5))/(34397.2741666667))</f>
        <v>18.542390185584942</v>
      </c>
      <c r="J7">
        <f>C2*C2</f>
        <v>3987.9224999999997</v>
      </c>
      <c r="K7">
        <f>SUM(J7:J18)-((SUM(C2:C13)^2)/12)</f>
        <v>34397.274166666728</v>
      </c>
      <c r="L7">
        <f>SQRT(K7)</f>
        <v>185.46502141014818</v>
      </c>
    </row>
    <row r="8" spans="3:16" x14ac:dyDescent="0.5">
      <c r="C8">
        <v>154.65</v>
      </c>
      <c r="D8">
        <v>5</v>
      </c>
      <c r="E8">
        <f t="shared" si="0"/>
        <v>9.0462150000000001</v>
      </c>
      <c r="F8">
        <f xml:space="preserve"> E8-(1.813)*(5.41223065842541)*SQRT(1+1/12+((D8-9.5)*(D8-9.5))/(34397.2741666667))</f>
        <v>-1.1696024860527352</v>
      </c>
      <c r="G8">
        <f xml:space="preserve"> E8+(1.813)*(5.41223065842541)*SQRT(1+1/12+((D8-9.5)*(D8-9.5))/(34397.2741666667))</f>
        <v>19.262032486052735</v>
      </c>
      <c r="J8">
        <f>C3*C3</f>
        <v>11440.441599999998</v>
      </c>
    </row>
    <row r="9" spans="3:16" x14ac:dyDescent="0.5">
      <c r="C9">
        <v>189.62</v>
      </c>
      <c r="D9">
        <v>18</v>
      </c>
      <c r="E9">
        <f t="shared" si="0"/>
        <v>11.043002</v>
      </c>
      <c r="F9">
        <f xml:space="preserve"> E9-(1.813)*(5.41223065842541)*SQRT(1+1/12+((D9-9.5)*(D9-9.5))/(34397.2741666667))</f>
        <v>0.82006298820672008</v>
      </c>
      <c r="G9">
        <f xml:space="preserve"> E9+(1.813)*(5.41223065842541)*SQRT(1+1/12+((D9-9.5)*(D9-9.5))/(34397.2741666667))</f>
        <v>21.265941011793281</v>
      </c>
      <c r="J9">
        <f>C4*C4</f>
        <v>12252.276099999999</v>
      </c>
    </row>
    <row r="10" spans="3:16" x14ac:dyDescent="0.5">
      <c r="C10">
        <v>210.74</v>
      </c>
      <c r="D10">
        <v>8</v>
      </c>
      <c r="E10">
        <f t="shared" si="0"/>
        <v>12.248953999999999</v>
      </c>
      <c r="F10">
        <f xml:space="preserve"> E10-(1.813)*(5.41223065842541)*SQRT(1+1/12+((D10-9.5)*(D10-9.5))/(34397.2741666667))</f>
        <v>2.0356028144150553</v>
      </c>
      <c r="G10">
        <f xml:space="preserve"> E10+(1.813)*(5.41223065842541)*SQRT(1+1/12+((D10-9.5)*(D10-9.5))/(34397.2741666667))</f>
        <v>22.462305185584945</v>
      </c>
      <c r="J10">
        <f>C5*C5</f>
        <v>19298.766399999997</v>
      </c>
    </row>
    <row r="11" spans="3:16" x14ac:dyDescent="0.5">
      <c r="C11">
        <v>211.62</v>
      </c>
      <c r="D11">
        <v>25</v>
      </c>
      <c r="E11">
        <f t="shared" si="0"/>
        <v>12.299201999999999</v>
      </c>
      <c r="F11">
        <f xml:space="preserve"> E11-(1.813)*(5.41223065842541)*SQRT(1+1/12+((D11-9.5)*(D11-9.5))/(34397.2741666667))</f>
        <v>2.0532888110324983</v>
      </c>
      <c r="G11">
        <f xml:space="preserve"> E11+(1.813)*(5.41223065842541)*SQRT(1+1/12+((D11-9.5)*(D11-9.5))/(34397.2741666667))</f>
        <v>22.5451151889675</v>
      </c>
      <c r="J11">
        <f>C6*C6</f>
        <v>22359.2209</v>
      </c>
    </row>
    <row r="12" spans="3:16" x14ac:dyDescent="0.5">
      <c r="C12">
        <v>215.86</v>
      </c>
      <c r="D12">
        <v>10</v>
      </c>
      <c r="E12">
        <f t="shared" si="0"/>
        <v>12.541306000000001</v>
      </c>
      <c r="F12">
        <f xml:space="preserve"> E12-(1.813)*(5.41223065842541)*SQRT(1+1/12+((D12-9.5)*(D12-9.5))/(34397.2741666667))</f>
        <v>2.3282288845641617</v>
      </c>
      <c r="G12">
        <f xml:space="preserve"> E12+(1.813)*(5.41223065842541)*SQRT(1+1/12+((D12-9.5)*(D12-9.5))/(34397.2741666667))</f>
        <v>22.754383115435839</v>
      </c>
      <c r="J12">
        <f>C7*C7</f>
        <v>20189.5681</v>
      </c>
    </row>
    <row r="13" spans="3:16" x14ac:dyDescent="0.5">
      <c r="C13">
        <v>258.58999999999997</v>
      </c>
      <c r="D13">
        <v>10</v>
      </c>
      <c r="E13">
        <f t="shared" si="0"/>
        <v>14.981188999999999</v>
      </c>
      <c r="F13">
        <f xml:space="preserve"> E13-(1.813)*(5.41223065842541)*SQRT(1+1/12+((D13-9.5)*(D13-9.5))/(34397.2741666667))</f>
        <v>4.7681118845641599</v>
      </c>
      <c r="G13">
        <f xml:space="preserve"> E13+(1.813)*(5.41223065842541)*SQRT(1+1/12+((D13-9.5)*(D13-9.5))/(34397.2741666667))</f>
        <v>25.194266115435838</v>
      </c>
      <c r="J13">
        <f>C8*C8</f>
        <v>23916.622500000001</v>
      </c>
    </row>
    <row r="14" spans="3:16" x14ac:dyDescent="0.5">
      <c r="J14">
        <f>C9*C9</f>
        <v>35955.744400000003</v>
      </c>
    </row>
    <row r="15" spans="3:16" x14ac:dyDescent="0.5">
      <c r="J15">
        <f>C10*C10</f>
        <v>44411.347600000001</v>
      </c>
    </row>
    <row r="16" spans="3:16" x14ac:dyDescent="0.5">
      <c r="D16">
        <f>AVERAGE(D2:D13)</f>
        <v>9.5</v>
      </c>
      <c r="J16">
        <f>C11*C11</f>
        <v>44783.024400000002</v>
      </c>
    </row>
    <row r="17" spans="2:10" x14ac:dyDescent="0.5">
      <c r="J17">
        <f>C12*C12</f>
        <v>46595.539600000004</v>
      </c>
    </row>
    <row r="18" spans="2:10" x14ac:dyDescent="0.5">
      <c r="B18">
        <f>C2*D2</f>
        <v>315.75</v>
      </c>
      <c r="C18">
        <f>SUM(C2:C13)*SUM(D2:D13)/12</f>
        <v>18547.989999999998</v>
      </c>
      <c r="E18">
        <f>C19-C18</f>
        <v>1962.8300000000017</v>
      </c>
      <c r="J18">
        <f>C13*C13</f>
        <v>66868.788099999991</v>
      </c>
    </row>
    <row r="19" spans="2:10" x14ac:dyDescent="0.5">
      <c r="B19">
        <f t="shared" ref="B19:B29" si="1">C3*D3</f>
        <v>534.79999999999995</v>
      </c>
      <c r="C19">
        <f>SUM(B18:B29)</f>
        <v>20510.82</v>
      </c>
    </row>
    <row r="20" spans="2:10" x14ac:dyDescent="0.5">
      <c r="B20">
        <f t="shared" si="1"/>
        <v>885.52</v>
      </c>
    </row>
    <row r="21" spans="2:10" x14ac:dyDescent="0.5">
      <c r="B21">
        <f t="shared" si="1"/>
        <v>833.52</v>
      </c>
    </row>
    <row r="22" spans="2:10" x14ac:dyDescent="0.5">
      <c r="B22">
        <f t="shared" si="1"/>
        <v>897.18000000000006</v>
      </c>
    </row>
    <row r="23" spans="2:10" x14ac:dyDescent="0.5">
      <c r="B23">
        <f t="shared" si="1"/>
        <v>1136.72</v>
      </c>
    </row>
    <row r="24" spans="2:10" x14ac:dyDescent="0.5">
      <c r="B24">
        <f t="shared" si="1"/>
        <v>773.25</v>
      </c>
    </row>
    <row r="25" spans="2:10" x14ac:dyDescent="0.5">
      <c r="B25">
        <f t="shared" si="1"/>
        <v>3413.16</v>
      </c>
    </row>
    <row r="26" spans="2:10" x14ac:dyDescent="0.5">
      <c r="B26">
        <f t="shared" si="1"/>
        <v>1685.92</v>
      </c>
    </row>
    <row r="27" spans="2:10" x14ac:dyDescent="0.5">
      <c r="B27">
        <f t="shared" si="1"/>
        <v>5290.5</v>
      </c>
    </row>
    <row r="28" spans="2:10" x14ac:dyDescent="0.5">
      <c r="B28">
        <f t="shared" si="1"/>
        <v>2158.6000000000004</v>
      </c>
    </row>
    <row r="29" spans="2:10" x14ac:dyDescent="0.5">
      <c r="B29">
        <f t="shared" si="1"/>
        <v>2585.8999999999996</v>
      </c>
    </row>
    <row r="39" spans="2:7" x14ac:dyDescent="0.5">
      <c r="D39">
        <f t="shared" ref="D39:D50" si="2">0.215668025438744+0.00416592480770513*C2</f>
        <v>0.47874617704532296</v>
      </c>
      <c r="G39">
        <f>0.00416592480770513*E2</f>
        <v>1.5920352437757652E-2</v>
      </c>
    </row>
    <row r="40" spans="2:7" x14ac:dyDescent="0.5">
      <c r="D40">
        <f t="shared" si="2"/>
        <v>0.66125534287088461</v>
      </c>
    </row>
    <row r="41" spans="2:7" x14ac:dyDescent="0.5">
      <c r="D41">
        <f t="shared" si="2"/>
        <v>0.67679424240362485</v>
      </c>
    </row>
    <row r="42" spans="2:7" x14ac:dyDescent="0.5">
      <c r="D42">
        <f t="shared" si="2"/>
        <v>0.79439829972514053</v>
      </c>
    </row>
    <row r="43" spans="2:7" x14ac:dyDescent="0.5">
      <c r="D43">
        <f t="shared" si="2"/>
        <v>0.83859876193489202</v>
      </c>
    </row>
    <row r="44" spans="2:7" x14ac:dyDescent="0.5">
      <c r="B44" t="s">
        <v>2</v>
      </c>
      <c r="D44">
        <f t="shared" si="2"/>
        <v>0.80760428136556583</v>
      </c>
    </row>
    <row r="45" spans="2:7" ht="14.7" thickBot="1" x14ac:dyDescent="0.55000000000000004">
      <c r="D45">
        <f t="shared" si="2"/>
        <v>0.85992829695034234</v>
      </c>
    </row>
    <row r="46" spans="2:7" x14ac:dyDescent="0.5">
      <c r="B46" s="4" t="s">
        <v>3</v>
      </c>
      <c r="C46" s="4"/>
      <c r="D46">
        <f t="shared" si="2"/>
        <v>1.0056106874757909</v>
      </c>
    </row>
    <row r="47" spans="2:7" x14ac:dyDescent="0.5">
      <c r="B47" s="1" t="s">
        <v>4</v>
      </c>
      <c r="C47" s="1">
        <v>0.52588787960660233</v>
      </c>
      <c r="D47">
        <f t="shared" si="2"/>
        <v>1.0935950194145232</v>
      </c>
    </row>
    <row r="48" spans="2:7" x14ac:dyDescent="0.5">
      <c r="B48" s="1" t="s">
        <v>5</v>
      </c>
      <c r="C48" s="1">
        <v>0.27655806191712823</v>
      </c>
      <c r="D48">
        <f t="shared" si="2"/>
        <v>1.0972610332453037</v>
      </c>
    </row>
    <row r="49" spans="2:20" x14ac:dyDescent="0.5">
      <c r="B49" s="1" t="s">
        <v>6</v>
      </c>
      <c r="C49" s="1">
        <v>0.20421386810884107</v>
      </c>
      <c r="D49">
        <f t="shared" si="2"/>
        <v>1.1149245544299735</v>
      </c>
    </row>
    <row r="50" spans="2:20" x14ac:dyDescent="0.5">
      <c r="B50" s="1" t="s">
        <v>0</v>
      </c>
      <c r="C50" s="1">
        <v>5.4128918788718021</v>
      </c>
      <c r="D50">
        <f t="shared" si="2"/>
        <v>1.2929345214632133</v>
      </c>
    </row>
    <row r="51" spans="2:20" ht="14.7" thickBot="1" x14ac:dyDescent="0.55000000000000004">
      <c r="B51" s="2" t="s">
        <v>7</v>
      </c>
      <c r="C51" s="2">
        <v>12</v>
      </c>
    </row>
    <row r="53" spans="2:20" ht="14.7" thickBot="1" x14ac:dyDescent="0.55000000000000004">
      <c r="B53" t="s">
        <v>8</v>
      </c>
    </row>
    <row r="54" spans="2:20" x14ac:dyDescent="0.5">
      <c r="B54" s="3"/>
      <c r="C54" s="3" t="s">
        <v>13</v>
      </c>
      <c r="D54" s="3" t="s">
        <v>14</v>
      </c>
      <c r="E54" s="3" t="s">
        <v>15</v>
      </c>
      <c r="F54" s="3" t="s">
        <v>17</v>
      </c>
      <c r="G54" s="3" t="s">
        <v>16</v>
      </c>
    </row>
    <row r="55" spans="2:20" x14ac:dyDescent="0.5">
      <c r="B55" s="1" t="s">
        <v>9</v>
      </c>
      <c r="C55" s="1">
        <v>1</v>
      </c>
      <c r="D55" s="1">
        <v>112.00601507643694</v>
      </c>
      <c r="E55" s="1">
        <v>112.00601507643694</v>
      </c>
      <c r="F55" s="1">
        <v>7.9063412792543503E-2</v>
      </c>
      <c r="G55" s="1">
        <v>3.8228093694707526</v>
      </c>
    </row>
    <row r="56" spans="2:20" x14ac:dyDescent="0.5">
      <c r="B56" s="1" t="s">
        <v>10</v>
      </c>
      <c r="C56" s="1">
        <v>10</v>
      </c>
      <c r="D56" s="1">
        <v>292.99398492356306</v>
      </c>
      <c r="E56" s="1">
        <v>29.299398492356307</v>
      </c>
      <c r="F56" s="1"/>
      <c r="G56" s="1"/>
    </row>
    <row r="57" spans="2:20" ht="14.7" thickBot="1" x14ac:dyDescent="0.55000000000000004">
      <c r="B57" s="2" t="s">
        <v>11</v>
      </c>
      <c r="C57" s="2">
        <v>11</v>
      </c>
      <c r="D57" s="2">
        <v>405</v>
      </c>
      <c r="E57" s="2"/>
      <c r="F57" s="2"/>
      <c r="G57" s="2"/>
    </row>
    <row r="58" spans="2:20" ht="14.7" thickBot="1" x14ac:dyDescent="0.55000000000000004"/>
    <row r="59" spans="2:20" x14ac:dyDescent="0.5">
      <c r="B59" s="3"/>
      <c r="C59" s="3" t="s">
        <v>18</v>
      </c>
      <c r="D59" s="3" t="s">
        <v>0</v>
      </c>
      <c r="E59" s="3" t="s">
        <v>19</v>
      </c>
      <c r="F59" s="3" t="s">
        <v>21</v>
      </c>
      <c r="G59" s="3" t="s">
        <v>20</v>
      </c>
      <c r="I59" s="3" t="s">
        <v>22</v>
      </c>
      <c r="J59" s="3" t="s">
        <v>26</v>
      </c>
      <c r="K59" s="3" t="s">
        <v>27</v>
      </c>
    </row>
    <row r="60" spans="2:20" x14ac:dyDescent="0.5">
      <c r="B60" s="1" t="s">
        <v>12</v>
      </c>
      <c r="C60" s="1">
        <v>0.215668025438744</v>
      </c>
      <c r="D60" s="1">
        <v>4.9990168715079104</v>
      </c>
      <c r="E60" s="1">
        <v>4.314208793091933E-2</v>
      </c>
      <c r="F60" s="1">
        <v>-10.922835687702909</v>
      </c>
      <c r="G60" s="1">
        <v>0.9664375559415086</v>
      </c>
      <c r="I60" s="1">
        <v>11.354171738580396</v>
      </c>
      <c r="J60" s="1">
        <v>-8.8448557064489961</v>
      </c>
      <c r="K60" s="1">
        <v>9.2761917573264832</v>
      </c>
    </row>
    <row r="61" spans="2:20" ht="14.7" thickBot="1" x14ac:dyDescent="0.55000000000000004">
      <c r="B61" s="2" t="s">
        <v>1</v>
      </c>
      <c r="C61" s="2">
        <v>5.7063533304685998E-2</v>
      </c>
      <c r="D61" s="2">
        <v>2.9185513460791193E-2</v>
      </c>
      <c r="E61" s="2">
        <v>1.955200595711537</v>
      </c>
      <c r="F61" s="2">
        <v>-7.9658431524712164E-3</v>
      </c>
      <c r="G61" s="2">
        <v>7.9063412792543558E-2</v>
      </c>
      <c r="I61" s="2">
        <v>0.12209290976184327</v>
      </c>
      <c r="J61" s="2">
        <v>4.1659248077051299E-3</v>
      </c>
      <c r="K61" s="2">
        <v>0.10996114180166691</v>
      </c>
      <c r="Q61">
        <v>63.15</v>
      </c>
      <c r="R61">
        <v>5</v>
      </c>
      <c r="S61">
        <v>-6.3942524860527357</v>
      </c>
      <c r="T61">
        <v>14.037382486052735</v>
      </c>
    </row>
    <row r="62" spans="2:20" x14ac:dyDescent="0.5">
      <c r="Q62">
        <v>106.96</v>
      </c>
      <c r="R62">
        <v>5</v>
      </c>
      <c r="S62">
        <v>-3.8927014860527356</v>
      </c>
      <c r="T62">
        <v>16.538933486052734</v>
      </c>
    </row>
    <row r="63" spans="2:20" x14ac:dyDescent="0.5">
      <c r="Q63">
        <v>110.69</v>
      </c>
      <c r="R63">
        <v>8</v>
      </c>
      <c r="S63">
        <v>-3.6772521855849449</v>
      </c>
      <c r="T63">
        <v>16.749450185584944</v>
      </c>
    </row>
    <row r="64" spans="2:20" x14ac:dyDescent="0.5">
      <c r="Q64">
        <v>138.91999999999999</v>
      </c>
      <c r="R64">
        <v>6</v>
      </c>
      <c r="S64">
        <v>-2.066689426027251</v>
      </c>
      <c r="T64">
        <v>18.362753426027247</v>
      </c>
    </row>
    <row r="65" spans="2:20" x14ac:dyDescent="0.5">
      <c r="B65" t="s">
        <v>23</v>
      </c>
      <c r="Q65">
        <v>149.53</v>
      </c>
      <c r="R65">
        <v>6</v>
      </c>
      <c r="S65">
        <v>-1.4608584260272508</v>
      </c>
      <c r="T65">
        <v>18.968584426027249</v>
      </c>
    </row>
    <row r="66" spans="2:20" ht="14.7" thickBot="1" x14ac:dyDescent="0.55000000000000004">
      <c r="Q66">
        <v>142.09</v>
      </c>
      <c r="R66">
        <v>8</v>
      </c>
      <c r="S66">
        <v>-1.8843121855849443</v>
      </c>
      <c r="T66">
        <v>18.542390185584942</v>
      </c>
    </row>
    <row r="67" spans="2:20" x14ac:dyDescent="0.5">
      <c r="B67" s="3" t="s">
        <v>24</v>
      </c>
      <c r="C67" s="3" t="s">
        <v>32</v>
      </c>
      <c r="D67" s="3" t="s">
        <v>25</v>
      </c>
      <c r="Q67">
        <v>154.65</v>
      </c>
      <c r="R67">
        <v>5</v>
      </c>
      <c r="S67">
        <v>-1.1696024860527352</v>
      </c>
      <c r="T67">
        <v>19.262032486052735</v>
      </c>
    </row>
    <row r="68" spans="2:20" x14ac:dyDescent="0.5">
      <c r="B68" s="1">
        <v>1</v>
      </c>
      <c r="C68" s="1">
        <v>3.819230153629666</v>
      </c>
      <c r="D68" s="1">
        <v>1.180769846370334</v>
      </c>
      <c r="Q68">
        <v>189.62</v>
      </c>
      <c r="R68">
        <v>18</v>
      </c>
      <c r="S68">
        <v>0.82006298820672008</v>
      </c>
      <c r="T68">
        <v>21.265941011793281</v>
      </c>
    </row>
    <row r="69" spans="2:20" ht="14.7" thickBot="1" x14ac:dyDescent="0.55000000000000004">
      <c r="B69" s="1">
        <v>2</v>
      </c>
      <c r="C69" s="1">
        <v>6.3191835477079605</v>
      </c>
      <c r="D69" s="1">
        <v>-1.3191835477079605</v>
      </c>
      <c r="Q69">
        <v>210.74</v>
      </c>
      <c r="R69">
        <v>8</v>
      </c>
      <c r="S69">
        <v>2.0356028144150553</v>
      </c>
      <c r="T69">
        <v>22.462305185584945</v>
      </c>
    </row>
    <row r="70" spans="2:20" x14ac:dyDescent="0.5">
      <c r="B70" s="1">
        <v>3</v>
      </c>
      <c r="C70" s="1">
        <v>6.5320305269344399</v>
      </c>
      <c r="D70" s="1">
        <v>1.4679694730655601</v>
      </c>
      <c r="Q70">
        <v>211.62</v>
      </c>
      <c r="R70">
        <v>25</v>
      </c>
      <c r="S70" s="3">
        <v>2.0532888110324983</v>
      </c>
      <c r="T70">
        <v>22.5451151889675</v>
      </c>
    </row>
    <row r="71" spans="2:20" x14ac:dyDescent="0.5">
      <c r="B71" s="1">
        <v>4</v>
      </c>
      <c r="C71" s="1">
        <v>8.1429340721257262</v>
      </c>
      <c r="D71" s="1">
        <v>-2.1429340721257262</v>
      </c>
      <c r="Q71">
        <v>215.86</v>
      </c>
      <c r="R71">
        <v>10</v>
      </c>
      <c r="S71" s="1">
        <v>2.3282288845641617</v>
      </c>
      <c r="T71">
        <v>22.754383115435839</v>
      </c>
    </row>
    <row r="72" spans="2:20" x14ac:dyDescent="0.5">
      <c r="B72" s="1">
        <v>5</v>
      </c>
      <c r="C72" s="1">
        <v>8.7483781604884445</v>
      </c>
      <c r="D72" s="1">
        <v>-2.7483781604884445</v>
      </c>
      <c r="Q72">
        <v>258.58999999999997</v>
      </c>
      <c r="R72">
        <v>10</v>
      </c>
      <c r="S72" s="1">
        <v>4.7681118845641599</v>
      </c>
      <c r="T72">
        <v>25.194266115435838</v>
      </c>
    </row>
    <row r="73" spans="2:20" x14ac:dyDescent="0.5">
      <c r="B73" s="1">
        <v>6</v>
      </c>
      <c r="C73" s="1">
        <v>8.3238254727015804</v>
      </c>
      <c r="D73" s="1">
        <v>-0.32382547270158035</v>
      </c>
    </row>
    <row r="74" spans="2:20" x14ac:dyDescent="0.5">
      <c r="B74" s="1">
        <v>7</v>
      </c>
      <c r="C74" s="1">
        <v>9.0405434510084373</v>
      </c>
      <c r="D74" s="1">
        <v>-4.0405434510084373</v>
      </c>
    </row>
    <row r="75" spans="2:20" x14ac:dyDescent="0.5">
      <c r="B75" s="1">
        <v>8</v>
      </c>
      <c r="C75" s="1">
        <v>11.036055210673307</v>
      </c>
      <c r="D75" s="1">
        <v>6.9639447893266926</v>
      </c>
    </row>
    <row r="76" spans="2:20" x14ac:dyDescent="0.5">
      <c r="B76" s="1">
        <v>9</v>
      </c>
      <c r="C76" s="1">
        <v>12.241237034068277</v>
      </c>
      <c r="D76" s="1">
        <v>-4.241237034068277</v>
      </c>
    </row>
    <row r="77" spans="2:20" x14ac:dyDescent="0.5">
      <c r="B77" s="1">
        <v>10</v>
      </c>
      <c r="C77" s="1">
        <v>12.291452943376401</v>
      </c>
      <c r="D77" s="1">
        <v>12.708547056623599</v>
      </c>
    </row>
    <row r="78" spans="2:20" x14ac:dyDescent="0.5">
      <c r="B78" s="1">
        <v>11</v>
      </c>
      <c r="C78" s="1">
        <v>12.53340232458827</v>
      </c>
      <c r="D78" s="1">
        <v>-2.5334023245882697</v>
      </c>
    </row>
    <row r="79" spans="2:20" ht="14.7" thickBot="1" x14ac:dyDescent="0.55000000000000004">
      <c r="B79" s="2">
        <v>12</v>
      </c>
      <c r="C79" s="2">
        <v>14.971727102697502</v>
      </c>
      <c r="D79" s="2">
        <v>-4.9717271026975016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B4CC4-D79A-435D-899C-DD2832E4094E}">
  <dimension ref="C1:AA97"/>
  <sheetViews>
    <sheetView zoomScale="91" workbookViewId="0">
      <selection activeCell="G2" sqref="G2"/>
    </sheetView>
  </sheetViews>
  <sheetFormatPr defaultRowHeight="14.35" x14ac:dyDescent="0.5"/>
  <sheetData>
    <row r="1" spans="6:16" x14ac:dyDescent="0.5">
      <c r="F1" t="s">
        <v>29</v>
      </c>
      <c r="G1" t="s">
        <v>30</v>
      </c>
      <c r="H1" t="s">
        <v>39</v>
      </c>
      <c r="I1" t="s">
        <v>40</v>
      </c>
      <c r="K1">
        <v>1.1000000000000001</v>
      </c>
      <c r="L1">
        <v>1</v>
      </c>
      <c r="M1">
        <v>7280.36</v>
      </c>
      <c r="N1" s="1">
        <v>1.4136909574915215</v>
      </c>
    </row>
    <row r="2" spans="6:16" x14ac:dyDescent="0.5">
      <c r="F2">
        <v>1</v>
      </c>
      <c r="G2">
        <v>6684.45</v>
      </c>
      <c r="H2" s="1">
        <v>0.52921488750119039</v>
      </c>
      <c r="I2">
        <v>0.7</v>
      </c>
    </row>
    <row r="3" spans="6:16" x14ac:dyDescent="0.5">
      <c r="F3">
        <v>1</v>
      </c>
      <c r="G3">
        <v>7044.12</v>
      </c>
      <c r="H3" s="1">
        <v>1.0630530645638725</v>
      </c>
      <c r="I3">
        <v>0.7</v>
      </c>
    </row>
    <row r="4" spans="6:16" x14ac:dyDescent="0.5">
      <c r="F4">
        <v>1</v>
      </c>
      <c r="G4">
        <v>7766.93</v>
      </c>
      <c r="H4" s="1">
        <v>2.1358797466965989</v>
      </c>
      <c r="I4">
        <v>0.7</v>
      </c>
    </row>
    <row r="5" spans="6:16" x14ac:dyDescent="0.5">
      <c r="F5">
        <v>1</v>
      </c>
      <c r="G5">
        <v>6681.87</v>
      </c>
      <c r="H5" s="1">
        <v>0.52538553699427659</v>
      </c>
      <c r="I5">
        <v>0.8</v>
      </c>
    </row>
    <row r="6" spans="6:16" x14ac:dyDescent="0.5">
      <c r="F6">
        <v>1</v>
      </c>
      <c r="G6">
        <v>7514.55</v>
      </c>
      <c r="H6" s="1">
        <v>1.7612861494349978</v>
      </c>
      <c r="I6">
        <v>0.8</v>
      </c>
    </row>
    <row r="7" spans="6:16" x14ac:dyDescent="0.5">
      <c r="F7">
        <v>1</v>
      </c>
      <c r="G7">
        <v>6842.22</v>
      </c>
      <c r="H7" s="1">
        <v>0.76338412373212172</v>
      </c>
      <c r="I7">
        <v>0.8</v>
      </c>
    </row>
    <row r="8" spans="6:16" x14ac:dyDescent="0.5">
      <c r="F8">
        <v>1</v>
      </c>
      <c r="G8">
        <v>7280.36</v>
      </c>
      <c r="H8" s="1">
        <v>1.4136909574915215</v>
      </c>
      <c r="I8">
        <v>1.1000000000000001</v>
      </c>
    </row>
    <row r="9" spans="6:16" x14ac:dyDescent="0.5">
      <c r="F9">
        <v>10</v>
      </c>
      <c r="G9">
        <v>6842.22</v>
      </c>
      <c r="H9" s="1">
        <v>1.1871151598927963</v>
      </c>
      <c r="I9">
        <v>1.3</v>
      </c>
    </row>
    <row r="10" spans="6:16" x14ac:dyDescent="0.5">
      <c r="F10">
        <v>10</v>
      </c>
      <c r="G10">
        <v>6681.87</v>
      </c>
      <c r="H10" s="1">
        <v>0.94911657315495113</v>
      </c>
      <c r="I10">
        <v>1.3</v>
      </c>
    </row>
    <row r="11" spans="6:16" x14ac:dyDescent="0.5">
      <c r="F11">
        <v>10</v>
      </c>
      <c r="G11">
        <v>6684.45</v>
      </c>
      <c r="H11" s="1">
        <v>0.95294592366186492</v>
      </c>
      <c r="I11">
        <v>1.3</v>
      </c>
    </row>
    <row r="12" spans="6:16" x14ac:dyDescent="0.5">
      <c r="F12">
        <v>10</v>
      </c>
      <c r="G12">
        <v>7766.93</v>
      </c>
      <c r="H12" s="1">
        <v>2.5596107828572734</v>
      </c>
      <c r="I12">
        <v>1.3</v>
      </c>
    </row>
    <row r="13" spans="6:16" x14ac:dyDescent="0.5">
      <c r="F13">
        <v>10</v>
      </c>
      <c r="G13">
        <v>7044.12</v>
      </c>
      <c r="H13" s="1">
        <v>1.4867841007245499</v>
      </c>
      <c r="I13">
        <v>1.4</v>
      </c>
      <c r="P13">
        <f>M30+M31*F13+M32*G13</f>
        <v>1.4867841007245115</v>
      </c>
    </row>
    <row r="14" spans="6:16" x14ac:dyDescent="0.5">
      <c r="F14">
        <v>10</v>
      </c>
      <c r="G14">
        <v>7514.55</v>
      </c>
      <c r="H14" s="1">
        <v>2.1850171855956724</v>
      </c>
      <c r="I14">
        <v>1.4</v>
      </c>
      <c r="L14" t="s">
        <v>2</v>
      </c>
    </row>
    <row r="15" spans="6:16" ht="14.7" thickBot="1" x14ac:dyDescent="0.55000000000000004">
      <c r="F15">
        <v>10</v>
      </c>
      <c r="G15">
        <v>7280.36</v>
      </c>
      <c r="H15" s="1">
        <v>1.8374219936521961</v>
      </c>
      <c r="I15">
        <v>1.7</v>
      </c>
    </row>
    <row r="16" spans="6:16" x14ac:dyDescent="0.5">
      <c r="F16">
        <v>100</v>
      </c>
      <c r="G16">
        <v>7514.55</v>
      </c>
      <c r="H16" s="1">
        <v>6.4223275472024302</v>
      </c>
      <c r="I16">
        <v>4.9000000000000004</v>
      </c>
      <c r="L16" s="4" t="s">
        <v>3</v>
      </c>
      <c r="M16" s="4"/>
    </row>
    <row r="17" spans="3:20" x14ac:dyDescent="0.5">
      <c r="F17">
        <v>100</v>
      </c>
      <c r="G17">
        <v>6681.87</v>
      </c>
      <c r="H17" s="1">
        <v>5.1864269347617089</v>
      </c>
      <c r="I17">
        <v>5.0999999999999996</v>
      </c>
      <c r="L17" s="1" t="s">
        <v>4</v>
      </c>
      <c r="M17" s="1">
        <v>0.99257969864849682</v>
      </c>
    </row>
    <row r="18" spans="3:20" ht="14.7" thickBot="1" x14ac:dyDescent="0.55000000000000004">
      <c r="F18">
        <v>100</v>
      </c>
      <c r="G18">
        <v>7280.36</v>
      </c>
      <c r="H18" s="1">
        <v>6.0747323552589538</v>
      </c>
      <c r="I18">
        <v>6.3</v>
      </c>
      <c r="L18" s="1" t="s">
        <v>5</v>
      </c>
      <c r="M18" s="1">
        <v>0.98521445816914066</v>
      </c>
    </row>
    <row r="19" spans="3:20" x14ac:dyDescent="0.5">
      <c r="F19">
        <v>100</v>
      </c>
      <c r="G19">
        <v>7044.12</v>
      </c>
      <c r="H19" s="1">
        <v>5.7240944623313048</v>
      </c>
      <c r="I19">
        <v>6.7</v>
      </c>
      <c r="L19" s="1" t="s">
        <v>6</v>
      </c>
      <c r="M19" s="1">
        <v>0.98403161482267199</v>
      </c>
      <c r="N19" s="4" t="s">
        <v>41</v>
      </c>
      <c r="O19" s="4"/>
    </row>
    <row r="20" spans="3:20" x14ac:dyDescent="0.5">
      <c r="F20">
        <v>100</v>
      </c>
      <c r="G20">
        <v>6842.22</v>
      </c>
      <c r="H20" s="1">
        <v>5.424425521499554</v>
      </c>
      <c r="I20">
        <v>7</v>
      </c>
      <c r="L20" s="1" t="s">
        <v>0</v>
      </c>
      <c r="M20" s="1">
        <v>2.5573331208622689</v>
      </c>
      <c r="N20" s="1"/>
      <c r="O20" s="1"/>
    </row>
    <row r="21" spans="3:20" ht="14.7" thickBot="1" x14ac:dyDescent="0.55000000000000004">
      <c r="F21">
        <v>100</v>
      </c>
      <c r="G21">
        <v>6684.45</v>
      </c>
      <c r="H21" s="1">
        <v>5.1902562852686227</v>
      </c>
      <c r="I21">
        <v>7.4</v>
      </c>
      <c r="L21" s="2" t="s">
        <v>7</v>
      </c>
      <c r="M21" s="2">
        <v>28</v>
      </c>
      <c r="N21" s="1" t="s">
        <v>43</v>
      </c>
      <c r="O21" s="1">
        <v>6.625</v>
      </c>
    </row>
    <row r="22" spans="3:20" x14ac:dyDescent="0.5">
      <c r="F22">
        <v>100</v>
      </c>
      <c r="G22">
        <v>7766.93</v>
      </c>
      <c r="H22" s="1">
        <v>6.7969211444640312</v>
      </c>
      <c r="I22">
        <v>7.9</v>
      </c>
      <c r="N22" s="1" t="s">
        <v>0</v>
      </c>
      <c r="O22" s="1">
        <v>1.6468313731006496</v>
      </c>
    </row>
    <row r="23" spans="3:20" ht="14.7" thickBot="1" x14ac:dyDescent="0.55000000000000004">
      <c r="F23">
        <v>1000</v>
      </c>
      <c r="G23">
        <v>6842.22</v>
      </c>
      <c r="H23" s="1">
        <v>47.797529137567132</v>
      </c>
      <c r="I23">
        <v>40</v>
      </c>
      <c r="L23" t="s">
        <v>8</v>
      </c>
      <c r="N23" s="1" t="s">
        <v>44</v>
      </c>
      <c r="O23" s="1">
        <v>10</v>
      </c>
    </row>
    <row r="24" spans="3:20" x14ac:dyDescent="0.5">
      <c r="F24">
        <v>1000</v>
      </c>
      <c r="G24">
        <v>6681.87</v>
      </c>
      <c r="H24" s="1">
        <v>47.559530550829287</v>
      </c>
      <c r="I24">
        <v>45</v>
      </c>
      <c r="L24" s="3"/>
      <c r="M24" s="3" t="s">
        <v>13</v>
      </c>
      <c r="N24" s="1" t="s">
        <v>45</v>
      </c>
      <c r="O24" s="1">
        <v>10</v>
      </c>
      <c r="P24" s="3" t="s">
        <v>16</v>
      </c>
      <c r="Q24" s="3" t="s">
        <v>17</v>
      </c>
    </row>
    <row r="25" spans="3:20" x14ac:dyDescent="0.5">
      <c r="F25">
        <v>1000</v>
      </c>
      <c r="G25">
        <v>7514.55</v>
      </c>
      <c r="H25" s="1">
        <v>48.79543116327001</v>
      </c>
      <c r="I25">
        <v>46</v>
      </c>
      <c r="L25" s="1" t="s">
        <v>9</v>
      </c>
      <c r="M25" s="1">
        <v>2</v>
      </c>
      <c r="N25" s="1" t="s">
        <v>46</v>
      </c>
      <c r="O25" s="1">
        <v>4.6579425255608911</v>
      </c>
      <c r="P25" s="1">
        <v>832.92048867704739</v>
      </c>
      <c r="Q25" s="1">
        <v>1.3272891792908368E-23</v>
      </c>
    </row>
    <row r="26" spans="3:20" x14ac:dyDescent="0.5">
      <c r="C26" s="5"/>
      <c r="F26">
        <v>1000</v>
      </c>
      <c r="G26">
        <v>7044.12</v>
      </c>
      <c r="H26" s="1">
        <v>48.097198078398883</v>
      </c>
      <c r="I26">
        <v>47</v>
      </c>
      <c r="L26" s="1" t="s">
        <v>10</v>
      </c>
      <c r="M26" s="1">
        <v>25</v>
      </c>
      <c r="N26" s="1" t="s">
        <v>47</v>
      </c>
      <c r="O26" s="1">
        <v>21.696428571428573</v>
      </c>
      <c r="P26" s="1"/>
      <c r="Q26" s="1"/>
    </row>
    <row r="27" spans="3:20" ht="14.7" thickBot="1" x14ac:dyDescent="0.55000000000000004">
      <c r="F27">
        <v>1000</v>
      </c>
      <c r="G27">
        <v>6684.45</v>
      </c>
      <c r="H27" s="1">
        <v>47.563359901336199</v>
      </c>
      <c r="I27">
        <v>51</v>
      </c>
      <c r="L27" s="2" t="s">
        <v>11</v>
      </c>
      <c r="M27" s="2">
        <v>27</v>
      </c>
      <c r="N27" s="1" t="s">
        <v>48</v>
      </c>
      <c r="O27" s="1">
        <v>-2.2400000000000002</v>
      </c>
      <c r="P27" s="2"/>
      <c r="Q27" s="2"/>
    </row>
    <row r="28" spans="3:20" ht="14.7" thickBot="1" x14ac:dyDescent="0.55000000000000004">
      <c r="F28">
        <v>1000</v>
      </c>
      <c r="G28">
        <v>7766.93</v>
      </c>
      <c r="H28" s="1">
        <v>49.170024760531604</v>
      </c>
      <c r="I28">
        <v>53</v>
      </c>
      <c r="N28" s="1" t="s">
        <v>49</v>
      </c>
      <c r="O28" s="1">
        <v>-0.64406118871953089</v>
      </c>
    </row>
    <row r="29" spans="3:20" ht="14.7" thickBot="1" x14ac:dyDescent="0.55000000000000004">
      <c r="F29">
        <v>1000</v>
      </c>
      <c r="G29">
        <v>7280.36</v>
      </c>
      <c r="H29" s="2">
        <v>48.447835971326526</v>
      </c>
      <c r="I29">
        <v>55</v>
      </c>
      <c r="L29" s="3"/>
      <c r="M29" s="3" t="s">
        <v>18</v>
      </c>
      <c r="N29" s="1" t="s">
        <v>50</v>
      </c>
      <c r="O29" s="1">
        <v>9</v>
      </c>
      <c r="P29" s="3" t="s">
        <v>20</v>
      </c>
      <c r="Q29" s="3" t="s">
        <v>21</v>
      </c>
      <c r="R29" s="3" t="s">
        <v>22</v>
      </c>
      <c r="S29" s="3" t="s">
        <v>26</v>
      </c>
      <c r="T29" s="3" t="s">
        <v>27</v>
      </c>
    </row>
    <row r="30" spans="3:20" x14ac:dyDescent="0.5">
      <c r="L30" s="1" t="s">
        <v>12</v>
      </c>
      <c r="M30" s="1">
        <v>-9.4392237015065508</v>
      </c>
      <c r="N30" s="1" t="s">
        <v>51</v>
      </c>
      <c r="O30" s="1">
        <v>1</v>
      </c>
      <c r="P30" s="1">
        <v>0.29576452575486589</v>
      </c>
      <c r="Q30" s="1">
        <v>-27.643397725311985</v>
      </c>
      <c r="R30" s="1">
        <v>8.7649503222988816</v>
      </c>
      <c r="S30" s="1">
        <v>-24.537407531770498</v>
      </c>
      <c r="T30" s="1">
        <v>5.6589601287573981</v>
      </c>
    </row>
    <row r="31" spans="3:20" x14ac:dyDescent="0.5">
      <c r="L31" s="1" t="s">
        <v>29</v>
      </c>
      <c r="M31" s="1">
        <v>4.7081226240075102E-2</v>
      </c>
      <c r="N31" s="1" t="s">
        <v>52</v>
      </c>
      <c r="O31" s="1">
        <v>10</v>
      </c>
      <c r="P31" s="1">
        <v>2.1340099078284575E-24</v>
      </c>
      <c r="Q31" s="1">
        <v>4.4704451908118073E-2</v>
      </c>
      <c r="R31" s="1">
        <v>4.945800057203209E-2</v>
      </c>
      <c r="S31" s="1">
        <v>4.5109976364084377E-2</v>
      </c>
      <c r="T31" s="1">
        <v>4.9052476116065787E-2</v>
      </c>
    </row>
    <row r="32" spans="3:20" ht="14.7" thickBot="1" x14ac:dyDescent="0.55000000000000004">
      <c r="L32" s="2" t="s">
        <v>30</v>
      </c>
      <c r="M32" s="2">
        <v>1.4842443825247599E-3</v>
      </c>
      <c r="N32" s="1" t="s">
        <v>53</v>
      </c>
      <c r="O32" s="1">
        <v>53</v>
      </c>
      <c r="P32" s="2">
        <v>0.2423183869991595</v>
      </c>
      <c r="Q32" s="2">
        <v>-1.0683186805859513E-3</v>
      </c>
      <c r="R32" s="2">
        <v>4.0368074456354815E-3</v>
      </c>
      <c r="S32" s="2">
        <v>-6.328012090406664E-4</v>
      </c>
      <c r="T32" s="2">
        <v>3.6012899740901962E-3</v>
      </c>
    </row>
    <row r="33" spans="12:27" x14ac:dyDescent="0.5">
      <c r="N33" s="1" t="s">
        <v>54</v>
      </c>
      <c r="O33" s="1">
        <v>8</v>
      </c>
    </row>
    <row r="34" spans="12:27" ht="14.7" thickBot="1" x14ac:dyDescent="0.55000000000000004">
      <c r="N34" s="2" t="s">
        <v>55</v>
      </c>
      <c r="O34" s="2">
        <v>3.1200514856674904</v>
      </c>
    </row>
    <row r="36" spans="12:27" x14ac:dyDescent="0.5">
      <c r="L36" t="s">
        <v>23</v>
      </c>
    </row>
    <row r="37" spans="12:27" ht="14.7" thickBot="1" x14ac:dyDescent="0.55000000000000004"/>
    <row r="38" spans="12:27" x14ac:dyDescent="0.5">
      <c r="L38" s="3" t="s">
        <v>24</v>
      </c>
      <c r="M38" s="3" t="s">
        <v>31</v>
      </c>
      <c r="N38" s="3" t="s">
        <v>25</v>
      </c>
    </row>
    <row r="39" spans="12:27" x14ac:dyDescent="0.5">
      <c r="L39" s="1">
        <v>1</v>
      </c>
      <c r="M39" s="1">
        <v>0.52921488750119039</v>
      </c>
      <c r="N39" s="1">
        <v>0.17078511249880957</v>
      </c>
      <c r="Z39" t="s">
        <v>41</v>
      </c>
    </row>
    <row r="40" spans="12:27" x14ac:dyDescent="0.5">
      <c r="L40" s="1">
        <v>2</v>
      </c>
      <c r="M40" s="1">
        <v>1.0630530645638725</v>
      </c>
      <c r="N40" s="1">
        <v>-0.36305306456387254</v>
      </c>
    </row>
    <row r="41" spans="12:27" x14ac:dyDescent="0.5">
      <c r="L41" s="1">
        <v>3</v>
      </c>
      <c r="M41" s="1">
        <v>2.1358797466965989</v>
      </c>
      <c r="N41" s="1">
        <v>-1.4358797466965989</v>
      </c>
      <c r="Z41" t="s">
        <v>43</v>
      </c>
      <c r="AA41">
        <v>6.625</v>
      </c>
    </row>
    <row r="42" spans="12:27" x14ac:dyDescent="0.5">
      <c r="L42" s="1">
        <v>4</v>
      </c>
      <c r="M42" s="1">
        <v>0.52538553699427659</v>
      </c>
      <c r="N42" s="1">
        <v>0.27461446300572345</v>
      </c>
      <c r="Z42" t="s">
        <v>0</v>
      </c>
      <c r="AA42">
        <v>1.6468313731006496</v>
      </c>
    </row>
    <row r="43" spans="12:27" x14ac:dyDescent="0.5">
      <c r="L43" s="1">
        <v>5</v>
      </c>
      <c r="M43" s="1">
        <v>1.7612861494349978</v>
      </c>
      <c r="N43" s="1">
        <v>-0.96128614943499779</v>
      </c>
      <c r="Z43" t="s">
        <v>44</v>
      </c>
      <c r="AA43">
        <v>10</v>
      </c>
    </row>
    <row r="44" spans="12:27" x14ac:dyDescent="0.5">
      <c r="L44" s="1">
        <v>6</v>
      </c>
      <c r="M44" s="1">
        <v>0.76338412373212172</v>
      </c>
      <c r="N44" s="1">
        <v>3.6615876267878322E-2</v>
      </c>
      <c r="Z44" t="s">
        <v>45</v>
      </c>
      <c r="AA44">
        <v>10</v>
      </c>
    </row>
    <row r="45" spans="12:27" x14ac:dyDescent="0.5">
      <c r="L45" s="1">
        <v>7</v>
      </c>
      <c r="M45" s="1">
        <v>1.4136909574915215</v>
      </c>
      <c r="N45" s="1">
        <v>-0.31369095749152143</v>
      </c>
      <c r="Z45" t="s">
        <v>46</v>
      </c>
      <c r="AA45">
        <v>4.6579425255608911</v>
      </c>
    </row>
    <row r="46" spans="12:27" x14ac:dyDescent="0.5">
      <c r="L46" s="1">
        <v>8</v>
      </c>
      <c r="M46" s="1">
        <v>1.1871151598927963</v>
      </c>
      <c r="N46" s="1">
        <v>0.11288484010720379</v>
      </c>
      <c r="Z46" t="s">
        <v>47</v>
      </c>
      <c r="AA46">
        <v>21.696428571428573</v>
      </c>
    </row>
    <row r="47" spans="12:27" x14ac:dyDescent="0.5">
      <c r="L47" s="1">
        <v>9</v>
      </c>
      <c r="M47" s="1">
        <v>0.94911657315495113</v>
      </c>
      <c r="N47" s="1">
        <v>0.35088342684504892</v>
      </c>
      <c r="Z47" t="s">
        <v>48</v>
      </c>
      <c r="AA47">
        <v>-2.2400000000000002</v>
      </c>
    </row>
    <row r="48" spans="12:27" x14ac:dyDescent="0.5">
      <c r="L48" s="1">
        <v>10</v>
      </c>
      <c r="M48" s="1">
        <v>0.95294592366186492</v>
      </c>
      <c r="N48" s="1">
        <v>0.34705407633813512</v>
      </c>
      <c r="Z48" t="s">
        <v>49</v>
      </c>
      <c r="AA48">
        <v>-0.64406118871953089</v>
      </c>
    </row>
    <row r="49" spans="12:27" x14ac:dyDescent="0.5">
      <c r="L49" s="1">
        <v>11</v>
      </c>
      <c r="M49" s="1">
        <v>2.5596107828572734</v>
      </c>
      <c r="N49" s="1">
        <v>-1.2596107828572733</v>
      </c>
      <c r="Z49" t="s">
        <v>50</v>
      </c>
      <c r="AA49">
        <v>9</v>
      </c>
    </row>
    <row r="50" spans="12:27" x14ac:dyDescent="0.5">
      <c r="L50" s="1">
        <v>12</v>
      </c>
      <c r="M50" s="1">
        <v>1.486784100724547</v>
      </c>
      <c r="N50" s="1">
        <v>-8.678410072454712E-2</v>
      </c>
      <c r="Z50" t="s">
        <v>51</v>
      </c>
      <c r="AA50">
        <v>1</v>
      </c>
    </row>
    <row r="51" spans="12:27" x14ac:dyDescent="0.5">
      <c r="L51" s="1">
        <v>13</v>
      </c>
      <c r="M51" s="1">
        <v>2.1850171855956724</v>
      </c>
      <c r="N51" s="1">
        <v>-0.78501718559567246</v>
      </c>
      <c r="Z51" t="s">
        <v>52</v>
      </c>
      <c r="AA51">
        <v>10</v>
      </c>
    </row>
    <row r="52" spans="12:27" x14ac:dyDescent="0.5">
      <c r="L52" s="1">
        <v>14</v>
      </c>
      <c r="M52" s="1">
        <v>1.8374219936521961</v>
      </c>
      <c r="N52" s="1">
        <v>-0.13742199365219609</v>
      </c>
      <c r="Z52" t="s">
        <v>53</v>
      </c>
      <c r="AA52">
        <v>53</v>
      </c>
    </row>
    <row r="53" spans="12:27" x14ac:dyDescent="0.5">
      <c r="L53" s="1">
        <v>15</v>
      </c>
      <c r="M53" s="1">
        <v>6.4223275472024302</v>
      </c>
      <c r="N53" s="1">
        <v>-1.5223275472024298</v>
      </c>
      <c r="Z53" t="s">
        <v>54</v>
      </c>
      <c r="AA53">
        <v>8</v>
      </c>
    </row>
    <row r="54" spans="12:27" x14ac:dyDescent="0.5">
      <c r="L54" s="1">
        <v>16</v>
      </c>
      <c r="M54" s="1">
        <v>5.1864269347617089</v>
      </c>
      <c r="N54" s="1">
        <v>-8.6426934761709262E-2</v>
      </c>
      <c r="Z54" t="s">
        <v>55</v>
      </c>
      <c r="AA54">
        <v>3.1200514856674904</v>
      </c>
    </row>
    <row r="55" spans="12:27" x14ac:dyDescent="0.5">
      <c r="L55" s="1">
        <v>17</v>
      </c>
      <c r="M55" s="1">
        <v>6.0747323552589538</v>
      </c>
      <c r="N55" s="1">
        <v>0.22526764474104599</v>
      </c>
    </row>
    <row r="56" spans="12:27" x14ac:dyDescent="0.5">
      <c r="L56" s="1">
        <v>18</v>
      </c>
      <c r="M56" s="1">
        <v>5.7240944623313048</v>
      </c>
      <c r="N56" s="1">
        <v>0.97590553766869537</v>
      </c>
    </row>
    <row r="57" spans="12:27" x14ac:dyDescent="0.5">
      <c r="L57" s="1">
        <v>19</v>
      </c>
      <c r="M57" s="1">
        <v>5.424425521499554</v>
      </c>
      <c r="N57" s="1">
        <v>1.575574478500446</v>
      </c>
    </row>
    <row r="58" spans="12:27" x14ac:dyDescent="0.5">
      <c r="L58" s="1">
        <v>20</v>
      </c>
      <c r="M58" s="1">
        <v>5.1902562852686227</v>
      </c>
      <c r="N58" s="1">
        <v>2.2097437147313777</v>
      </c>
    </row>
    <row r="59" spans="12:27" x14ac:dyDescent="0.5">
      <c r="L59" s="1">
        <v>21</v>
      </c>
      <c r="M59" s="1">
        <v>6.7969211444640312</v>
      </c>
      <c r="N59" s="1">
        <v>1.1030788555359692</v>
      </c>
    </row>
    <row r="60" spans="12:27" x14ac:dyDescent="0.5">
      <c r="L60" s="1">
        <v>22</v>
      </c>
      <c r="M60" s="1">
        <v>47.797529137567132</v>
      </c>
      <c r="N60" s="1">
        <v>-7.7975291375671318</v>
      </c>
    </row>
    <row r="61" spans="12:27" x14ac:dyDescent="0.5">
      <c r="L61" s="1">
        <v>23</v>
      </c>
      <c r="M61" s="1">
        <v>47.559530550829287</v>
      </c>
      <c r="N61" s="1">
        <v>-2.5595305508292867</v>
      </c>
    </row>
    <row r="62" spans="12:27" x14ac:dyDescent="0.5">
      <c r="L62" s="1">
        <v>24</v>
      </c>
      <c r="M62" s="1">
        <v>48.79543116327001</v>
      </c>
      <c r="N62" s="1">
        <v>-2.7954311632700097</v>
      </c>
    </row>
    <row r="63" spans="12:27" x14ac:dyDescent="0.5">
      <c r="L63" s="1">
        <v>25</v>
      </c>
      <c r="M63" s="1">
        <v>48.097198078398883</v>
      </c>
      <c r="N63" s="1">
        <v>-1.0971980783988826</v>
      </c>
    </row>
    <row r="64" spans="12:27" x14ac:dyDescent="0.5">
      <c r="L64" s="1">
        <v>26</v>
      </c>
      <c r="M64" s="1">
        <v>47.563359901336199</v>
      </c>
      <c r="N64" s="1">
        <v>3.4366400986638013</v>
      </c>
    </row>
    <row r="65" spans="12:14" x14ac:dyDescent="0.5">
      <c r="L65" s="1">
        <v>27</v>
      </c>
      <c r="M65" s="1">
        <v>49.170024760531604</v>
      </c>
      <c r="N65" s="1">
        <v>3.8299752394683964</v>
      </c>
    </row>
    <row r="66" spans="12:14" ht="14.7" thickBot="1" x14ac:dyDescent="0.55000000000000004">
      <c r="L66" s="2">
        <v>28</v>
      </c>
      <c r="M66" s="2">
        <v>48.447835971326526</v>
      </c>
      <c r="N66" s="2">
        <v>6.5521640286734737</v>
      </c>
    </row>
    <row r="81" spans="13:19" ht="14.7" thickBot="1" x14ac:dyDescent="0.55000000000000004"/>
    <row r="82" spans="13:19" x14ac:dyDescent="0.5">
      <c r="P82" s="4" t="s">
        <v>41</v>
      </c>
      <c r="Q82" s="4"/>
    </row>
    <row r="83" spans="13:19" x14ac:dyDescent="0.5">
      <c r="P83" s="1"/>
      <c r="Q83" s="1"/>
    </row>
    <row r="84" spans="13:19" x14ac:dyDescent="0.5">
      <c r="P84" s="1" t="s">
        <v>43</v>
      </c>
      <c r="Q84" s="1">
        <v>1.45</v>
      </c>
      <c r="S84">
        <f>1.45+Q97</f>
        <v>1.5120146419133487</v>
      </c>
    </row>
    <row r="85" spans="13:19" ht="14.7" thickBot="1" x14ac:dyDescent="0.55000000000000004">
      <c r="P85" s="1" t="s">
        <v>0</v>
      </c>
      <c r="Q85" s="1">
        <v>3.2732683535398863E-2</v>
      </c>
      <c r="S85">
        <f>1.45-Q97</f>
        <v>1.3879853580866512</v>
      </c>
    </row>
    <row r="86" spans="13:19" ht="14.7" thickBot="1" x14ac:dyDescent="0.55000000000000004">
      <c r="M86" s="6">
        <v>1.4</v>
      </c>
      <c r="P86" s="1" t="s">
        <v>44</v>
      </c>
      <c r="Q86" s="1">
        <v>1.45</v>
      </c>
    </row>
    <row r="87" spans="13:19" ht="14.7" thickBot="1" x14ac:dyDescent="0.55000000000000004">
      <c r="M87" s="7">
        <v>1.3</v>
      </c>
      <c r="P87" s="1" t="s">
        <v>45</v>
      </c>
      <c r="Q87" s="1">
        <v>1.4</v>
      </c>
    </row>
    <row r="88" spans="13:19" ht="14.7" thickBot="1" x14ac:dyDescent="0.55000000000000004">
      <c r="M88" s="8">
        <v>1.5</v>
      </c>
      <c r="P88" s="1" t="s">
        <v>46</v>
      </c>
      <c r="Q88" s="1">
        <v>9.2582009977255172E-2</v>
      </c>
    </row>
    <row r="89" spans="13:19" ht="14.7" thickBot="1" x14ac:dyDescent="0.55000000000000004">
      <c r="M89" s="7">
        <v>1.4</v>
      </c>
      <c r="P89" s="1" t="s">
        <v>47</v>
      </c>
      <c r="Q89" s="1">
        <v>8.5714285714285771E-3</v>
      </c>
    </row>
    <row r="90" spans="13:19" ht="14.7" thickBot="1" x14ac:dyDescent="0.55000000000000004">
      <c r="M90" s="8">
        <v>1.5</v>
      </c>
      <c r="P90" s="1" t="s">
        <v>48</v>
      </c>
      <c r="Q90" s="1">
        <v>-3.5527136788005009E-15</v>
      </c>
    </row>
    <row r="91" spans="13:19" ht="14.7" thickBot="1" x14ac:dyDescent="0.55000000000000004">
      <c r="M91" s="7">
        <v>1.6</v>
      </c>
      <c r="P91" s="1" t="s">
        <v>49</v>
      </c>
      <c r="Q91" s="1">
        <v>3.7218905206481432E-15</v>
      </c>
    </row>
    <row r="92" spans="13:19" ht="14.7" thickBot="1" x14ac:dyDescent="0.55000000000000004">
      <c r="M92" s="8">
        <v>1.5</v>
      </c>
      <c r="P92" s="1" t="s">
        <v>50</v>
      </c>
      <c r="Q92" s="1">
        <v>0.30000000000000004</v>
      </c>
    </row>
    <row r="93" spans="13:19" ht="14.7" thickBot="1" x14ac:dyDescent="0.55000000000000004">
      <c r="M93" s="7">
        <v>1.4</v>
      </c>
      <c r="P93" s="1" t="s">
        <v>51</v>
      </c>
      <c r="Q93" s="1">
        <v>1.3</v>
      </c>
    </row>
    <row r="94" spans="13:19" x14ac:dyDescent="0.5">
      <c r="P94" s="1" t="s">
        <v>52</v>
      </c>
      <c r="Q94" s="1">
        <v>1.6</v>
      </c>
    </row>
    <row r="95" spans="13:19" x14ac:dyDescent="0.5">
      <c r="P95" s="1" t="s">
        <v>53</v>
      </c>
      <c r="Q95" s="1">
        <v>11.6</v>
      </c>
    </row>
    <row r="96" spans="13:19" x14ac:dyDescent="0.5">
      <c r="P96" s="1" t="s">
        <v>54</v>
      </c>
      <c r="Q96" s="1">
        <v>8</v>
      </c>
    </row>
    <row r="97" spans="16:17" ht="14.7" thickBot="1" x14ac:dyDescent="0.55000000000000004">
      <c r="P97" s="2" t="s">
        <v>55</v>
      </c>
      <c r="Q97" s="2">
        <v>6.2014641913348628E-2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CB38-0A36-4AAC-A9BE-979B4BA995D8}">
  <dimension ref="A1:O42"/>
  <sheetViews>
    <sheetView tabSelected="1" topLeftCell="A15" zoomScale="117" workbookViewId="0">
      <selection activeCell="C17" sqref="C17"/>
    </sheetView>
  </sheetViews>
  <sheetFormatPr defaultRowHeight="14.35" x14ac:dyDescent="0.5"/>
  <cols>
    <col min="1" max="1" width="11.76171875" bestFit="1" customWidth="1"/>
    <col min="2" max="2" width="24.703125" customWidth="1"/>
    <col min="11" max="11" width="26.234375" customWidth="1"/>
  </cols>
  <sheetData>
    <row r="1" spans="1:11" x14ac:dyDescent="0.5">
      <c r="D1" s="1"/>
    </row>
    <row r="2" spans="1:11" x14ac:dyDescent="0.5">
      <c r="A2">
        <v>1.4</v>
      </c>
      <c r="B2">
        <v>10</v>
      </c>
      <c r="C2">
        <v>7044.12</v>
      </c>
      <c r="D2" s="1">
        <v>1.4867841007245499</v>
      </c>
    </row>
    <row r="3" spans="1:11" x14ac:dyDescent="0.5">
      <c r="D3" s="1"/>
    </row>
    <row r="4" spans="1:11" x14ac:dyDescent="0.5">
      <c r="D4" s="1"/>
    </row>
    <row r="5" spans="1:11" x14ac:dyDescent="0.5">
      <c r="E5" t="s">
        <v>33</v>
      </c>
    </row>
    <row r="6" spans="1:11" x14ac:dyDescent="0.5">
      <c r="B6">
        <v>10000</v>
      </c>
      <c r="C6">
        <v>7044.12</v>
      </c>
      <c r="D6">
        <f>0.0470812262400751*B6+0.00148424438252476*C6-9.43922370150655</f>
        <v>471.82823423907479</v>
      </c>
      <c r="F6">
        <f>7*60+0.44*60</f>
        <v>446.4</v>
      </c>
    </row>
    <row r="7" spans="1:11" x14ac:dyDescent="0.5">
      <c r="B7">
        <v>100000000000</v>
      </c>
      <c r="C7">
        <v>7044.12</v>
      </c>
      <c r="D7">
        <f>0.0470812262400751*B7+0.00148424438252476*C7-9.43922370150655</f>
        <v>4708122625.0234823</v>
      </c>
      <c r="F7">
        <f>8*60+0.35*60</f>
        <v>501</v>
      </c>
    </row>
    <row r="8" spans="1:11" x14ac:dyDescent="0.5">
      <c r="F8">
        <f>8*60+0.11*60</f>
        <v>486.6</v>
      </c>
      <c r="I8">
        <f>D7/(3600)</f>
        <v>1307811.8402843007</v>
      </c>
      <c r="J8">
        <f>C7/I8</f>
        <v>5.3861876632564382E-3</v>
      </c>
      <c r="K8">
        <f>J8*1000</f>
        <v>5.3861876632564378</v>
      </c>
    </row>
    <row r="9" spans="1:11" x14ac:dyDescent="0.5">
      <c r="F9">
        <f>7*60+0.57*60</f>
        <v>454.2</v>
      </c>
    </row>
    <row r="10" spans="1:11" x14ac:dyDescent="0.5">
      <c r="F10">
        <f>7*60+0.41*60</f>
        <v>444.6</v>
      </c>
    </row>
    <row r="11" spans="1:11" x14ac:dyDescent="0.5">
      <c r="E11">
        <f>8*60+0.14*60</f>
        <v>488.4</v>
      </c>
    </row>
    <row r="12" spans="1:11" x14ac:dyDescent="0.5">
      <c r="E12">
        <f>7*60+0.23*60</f>
        <v>433.8</v>
      </c>
    </row>
    <row r="13" spans="1:11" x14ac:dyDescent="0.5">
      <c r="E13">
        <f>8*60+0.11*60</f>
        <v>486.6</v>
      </c>
    </row>
    <row r="16" spans="1:11" ht="14.7" thickBot="1" x14ac:dyDescent="0.55000000000000004"/>
    <row r="17" spans="1:15" x14ac:dyDescent="0.5">
      <c r="A17" t="s">
        <v>56</v>
      </c>
      <c r="B17" t="s">
        <v>57</v>
      </c>
      <c r="C17" t="s">
        <v>58</v>
      </c>
      <c r="D17" t="s">
        <v>59</v>
      </c>
      <c r="J17" s="4" t="s">
        <v>41</v>
      </c>
      <c r="K17" s="4"/>
    </row>
    <row r="18" spans="1:15" ht="14.7" thickBot="1" x14ac:dyDescent="0.55000000000000004">
      <c r="A18">
        <v>100</v>
      </c>
      <c r="B18">
        <v>7044.12</v>
      </c>
      <c r="C18">
        <f>(0.0470812262400751*A18+0.00148424438252476*B18-9.43922370150655)/3600</f>
        <v>1.5900262395364643E-3</v>
      </c>
      <c r="D18">
        <f>B18/C18</f>
        <v>4430191.0401513577</v>
      </c>
      <c r="J18" s="1"/>
      <c r="K18" s="1"/>
    </row>
    <row r="19" spans="1:15" x14ac:dyDescent="0.5">
      <c r="A19">
        <v>1000</v>
      </c>
      <c r="B19">
        <v>7044.12</v>
      </c>
      <c r="C19">
        <f t="shared" ref="C19:D27" si="0">(0.0470812262400751*A19+0.00148424438252476*B19-9.43922370150655)/3600</f>
        <v>1.3360332799555241E-2</v>
      </c>
      <c r="D19">
        <f t="shared" ref="D19:D26" si="1">B19/C19</f>
        <v>527241.35735859035</v>
      </c>
      <c r="K19" s="1" t="s">
        <v>43</v>
      </c>
      <c r="L19" s="1">
        <v>467.70000000000005</v>
      </c>
      <c r="N19" s="4" t="s">
        <v>41</v>
      </c>
      <c r="O19" s="4"/>
    </row>
    <row r="20" spans="1:15" x14ac:dyDescent="0.5">
      <c r="A20">
        <v>10000</v>
      </c>
      <c r="B20">
        <v>7044.12</v>
      </c>
      <c r="C20">
        <f t="shared" si="0"/>
        <v>0.13106339839974299</v>
      </c>
      <c r="D20">
        <f t="shared" si="1"/>
        <v>53745.897680109396</v>
      </c>
      <c r="F20" s="1"/>
      <c r="K20" s="1" t="s">
        <v>0</v>
      </c>
      <c r="L20" s="1">
        <v>9.034220655770083</v>
      </c>
      <c r="N20" s="1"/>
      <c r="O20" s="1"/>
    </row>
    <row r="21" spans="1:15" x14ac:dyDescent="0.5">
      <c r="A21">
        <v>100000</v>
      </c>
      <c r="B21">
        <v>7044.12</v>
      </c>
      <c r="C21">
        <f t="shared" si="0"/>
        <v>1.3080940544016206</v>
      </c>
      <c r="D21">
        <f t="shared" si="1"/>
        <v>5385.0256228114176</v>
      </c>
      <c r="K21" s="1" t="s">
        <v>44</v>
      </c>
      <c r="L21" s="1">
        <v>470.4</v>
      </c>
      <c r="N21" s="1" t="s">
        <v>43</v>
      </c>
      <c r="O21" s="1">
        <v>467.70000000000005</v>
      </c>
    </row>
    <row r="22" spans="1:15" x14ac:dyDescent="0.5">
      <c r="A22">
        <v>1000000</v>
      </c>
      <c r="B22">
        <v>7044.12</v>
      </c>
      <c r="C22">
        <f t="shared" si="0"/>
        <v>13.078400614420397</v>
      </c>
      <c r="D22">
        <f t="shared" si="1"/>
        <v>538.60714376902251</v>
      </c>
      <c r="K22" s="1" t="s">
        <v>45</v>
      </c>
      <c r="L22" s="1">
        <v>486.6</v>
      </c>
      <c r="N22" s="1" t="s">
        <v>0</v>
      </c>
      <c r="O22" s="1">
        <v>9.034220655770083</v>
      </c>
    </row>
    <row r="23" spans="1:15" x14ac:dyDescent="0.5">
      <c r="A23">
        <v>10000000</v>
      </c>
      <c r="B23">
        <v>7044.12</v>
      </c>
      <c r="C23">
        <f t="shared" si="0"/>
        <v>130.78146621460814</v>
      </c>
      <c r="D23">
        <f t="shared" si="1"/>
        <v>53.861760415201552</v>
      </c>
      <c r="G23">
        <v>489.06253725687441</v>
      </c>
      <c r="K23" s="1" t="s">
        <v>46</v>
      </c>
      <c r="L23" s="1">
        <v>25.552634753722419</v>
      </c>
      <c r="N23" s="1" t="s">
        <v>44</v>
      </c>
      <c r="O23" s="1">
        <v>470.4</v>
      </c>
    </row>
    <row r="24" spans="1:15" x14ac:dyDescent="0.5">
      <c r="A24">
        <v>100000000</v>
      </c>
      <c r="B24">
        <v>7044.12</v>
      </c>
      <c r="C24">
        <f>(0.0470812262400751*A24+0.00148424438252476*B24-9.43922370150655)/3600</f>
        <v>1307.8121222164857</v>
      </c>
      <c r="D24">
        <f t="shared" si="1"/>
        <v>5.3861865021266162</v>
      </c>
      <c r="G24">
        <v>446.33746274312557</v>
      </c>
      <c r="K24" s="1" t="s">
        <v>47</v>
      </c>
      <c r="L24" s="1">
        <v>652.93714285714282</v>
      </c>
      <c r="N24" s="1" t="s">
        <v>45</v>
      </c>
      <c r="O24" s="1">
        <v>486.6</v>
      </c>
    </row>
    <row r="25" spans="1:15" x14ac:dyDescent="0.5">
      <c r="A25">
        <v>1000000000</v>
      </c>
      <c r="B25">
        <v>7044.12</v>
      </c>
      <c r="C25">
        <f t="shared" si="0"/>
        <v>13078.118682235263</v>
      </c>
      <c r="D25">
        <f t="shared" si="1"/>
        <v>0.53861875481894961</v>
      </c>
      <c r="K25" s="1" t="s">
        <v>48</v>
      </c>
      <c r="L25" s="1">
        <v>-2.0748749513116373</v>
      </c>
      <c r="N25" s="1" t="s">
        <v>46</v>
      </c>
      <c r="O25" s="1">
        <v>25.552634753722419</v>
      </c>
    </row>
    <row r="26" spans="1:15" x14ac:dyDescent="0.5">
      <c r="A26">
        <v>10000000000</v>
      </c>
      <c r="B26">
        <v>7044.12</v>
      </c>
      <c r="C26">
        <f t="shared" si="0"/>
        <v>130781.18428242303</v>
      </c>
      <c r="D26">
        <f t="shared" si="1"/>
        <v>5.3861876527958069E-2</v>
      </c>
      <c r="G26">
        <f>467.7+O34</f>
        <v>484.81604116808421</v>
      </c>
      <c r="K26" s="1" t="s">
        <v>49</v>
      </c>
      <c r="L26" s="1">
        <v>-4.6924899603214859E-2</v>
      </c>
      <c r="N26" s="1" t="s">
        <v>47</v>
      </c>
      <c r="O26" s="1">
        <v>652.93714285714282</v>
      </c>
    </row>
    <row r="27" spans="1:15" x14ac:dyDescent="0.5">
      <c r="A27">
        <v>100000000000</v>
      </c>
      <c r="B27">
        <v>7044.12</v>
      </c>
      <c r="C27">
        <f t="shared" si="0"/>
        <v>1307811.8402843007</v>
      </c>
      <c r="D27">
        <f>B27/C27</f>
        <v>5.3861876632564382E-3</v>
      </c>
      <c r="G27" s="1">
        <f>467.7-O34</f>
        <v>450.58395883191577</v>
      </c>
      <c r="K27" s="1" t="s">
        <v>50</v>
      </c>
      <c r="L27" s="1">
        <v>67.199999999999989</v>
      </c>
      <c r="N27" s="1" t="s">
        <v>48</v>
      </c>
      <c r="O27" s="1">
        <v>-2.0748749513116373</v>
      </c>
    </row>
    <row r="28" spans="1:15" x14ac:dyDescent="0.5">
      <c r="K28" s="1" t="s">
        <v>51</v>
      </c>
      <c r="L28" s="1">
        <v>433.8</v>
      </c>
      <c r="N28" s="1" t="s">
        <v>49</v>
      </c>
      <c r="O28" s="1">
        <v>-4.6924899603214859E-2</v>
      </c>
    </row>
    <row r="29" spans="1:15" x14ac:dyDescent="0.5">
      <c r="K29" s="1" t="s">
        <v>52</v>
      </c>
      <c r="L29" s="1">
        <v>501</v>
      </c>
      <c r="N29" s="1" t="s">
        <v>50</v>
      </c>
      <c r="O29" s="1">
        <v>67.199999999999989</v>
      </c>
    </row>
    <row r="30" spans="1:15" x14ac:dyDescent="0.5">
      <c r="K30" s="1" t="s">
        <v>53</v>
      </c>
      <c r="L30" s="1">
        <v>3741.6000000000004</v>
      </c>
      <c r="N30" s="1" t="s">
        <v>51</v>
      </c>
      <c r="O30" s="1">
        <v>433.8</v>
      </c>
    </row>
    <row r="31" spans="1:15" x14ac:dyDescent="0.5">
      <c r="K31" s="1" t="s">
        <v>54</v>
      </c>
      <c r="L31" s="1">
        <v>8</v>
      </c>
      <c r="N31" s="1" t="s">
        <v>52</v>
      </c>
      <c r="O31" s="1">
        <v>501</v>
      </c>
    </row>
    <row r="32" spans="1:15" ht="14.7" thickBot="1" x14ac:dyDescent="0.55000000000000004">
      <c r="K32" s="2" t="s">
        <v>42</v>
      </c>
      <c r="L32" s="2">
        <v>21.362537256874401</v>
      </c>
      <c r="N32" s="1" t="s">
        <v>53</v>
      </c>
      <c r="O32" s="1">
        <v>3741.6000000000004</v>
      </c>
    </row>
    <row r="33" spans="2:15" x14ac:dyDescent="0.5">
      <c r="B33">
        <v>1.5900262395364643E-3</v>
      </c>
      <c r="N33" s="1" t="s">
        <v>54</v>
      </c>
      <c r="O33" s="1">
        <v>8</v>
      </c>
    </row>
    <row r="34" spans="2:15" ht="14.7" thickBot="1" x14ac:dyDescent="0.55000000000000004">
      <c r="B34">
        <v>1.3360332799555241E-2</v>
      </c>
      <c r="N34" s="2" t="s">
        <v>55</v>
      </c>
      <c r="O34" s="2">
        <v>17.116041168084202</v>
      </c>
    </row>
    <row r="35" spans="2:15" x14ac:dyDescent="0.5">
      <c r="B35">
        <v>0.13106339839974299</v>
      </c>
    </row>
    <row r="36" spans="2:15" x14ac:dyDescent="0.5">
      <c r="B36">
        <v>1.3080940544016206</v>
      </c>
    </row>
    <row r="37" spans="2:15" x14ac:dyDescent="0.5">
      <c r="B37">
        <v>13.078400614420397</v>
      </c>
    </row>
    <row r="38" spans="2:15" x14ac:dyDescent="0.5">
      <c r="B38">
        <v>130.78146621460814</v>
      </c>
    </row>
    <row r="39" spans="2:15" x14ac:dyDescent="0.5">
      <c r="B39">
        <v>1307.8121222164857</v>
      </c>
    </row>
    <row r="40" spans="2:15" x14ac:dyDescent="0.5">
      <c r="B40">
        <v>13078.118682235263</v>
      </c>
    </row>
    <row r="41" spans="2:15" x14ac:dyDescent="0.5">
      <c r="B41">
        <v>130781.18428242303</v>
      </c>
    </row>
    <row r="42" spans="2:15" x14ac:dyDescent="0.5">
      <c r="B42">
        <v>1307811.8402843007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2019-11-19T21:58:45Z</dcterms:modified>
</cp:coreProperties>
</file>