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hya Chaker\Downloads\"/>
    </mc:Choice>
  </mc:AlternateContent>
  <xr:revisionPtr revIDLastSave="0" documentId="13_ncr:1_{29135333-0114-4162-9B3E-624B94E5C046}" xr6:coauthVersionLast="47" xr6:coauthVersionMax="47" xr10:uidLastSave="{00000000-0000-0000-0000-000000000000}"/>
  <bookViews>
    <workbookView xWindow="-108" yWindow="-108" windowWidth="23256" windowHeight="12456" tabRatio="805" activeTab="1" xr2:uid="{23CBEA3F-BC00-4514-8C1F-F15676C82A9D}"/>
  </bookViews>
  <sheets>
    <sheet name="Project Overview" sheetId="1" r:id="rId1"/>
    <sheet name="Financial" sheetId="3" r:id="rId2"/>
    <sheet name="OPEX" sheetId="4" r:id="rId3"/>
    <sheet name="KPI-Penalties" sheetId="5" r:id="rId4"/>
    <sheet name="Billing" sheetId="6" r:id="rId5"/>
    <sheet name="Manpower" sheetId="12" r:id="rId6"/>
    <sheet name="SLA Compliance" sheetId="9" r:id="rId7"/>
    <sheet name="PPM" sheetId="7" r:id="rId8"/>
    <sheet name="WOs" sheetId="8" r:id="rId9"/>
    <sheet name="Services" sheetId="10" r:id="rId10"/>
    <sheet name="Subcontractors" sheetId="11" r:id="rId11"/>
    <sheet name="Subcontractor Monthly Billing" sheetId="13" r:id="rId12"/>
  </sheets>
  <externalReferences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4" l="1"/>
  <c r="M8" i="4"/>
  <c r="L8" i="4"/>
  <c r="K8" i="4"/>
  <c r="J8" i="4"/>
  <c r="I8" i="4"/>
  <c r="H8" i="4"/>
  <c r="G8" i="4"/>
  <c r="F8" i="4"/>
  <c r="E8" i="4"/>
  <c r="D8" i="4"/>
  <c r="C8" i="4"/>
  <c r="D27" i="13"/>
  <c r="E27" i="13"/>
  <c r="F27" i="13"/>
  <c r="G27" i="13"/>
  <c r="H27" i="13"/>
  <c r="I27" i="13"/>
  <c r="J27" i="13"/>
  <c r="C27" i="13"/>
  <c r="D3" i="13"/>
  <c r="E3" i="13"/>
  <c r="F3" i="13"/>
  <c r="G3" i="13"/>
  <c r="H3" i="13"/>
  <c r="I3" i="13"/>
  <c r="J3" i="13"/>
  <c r="C3" i="13"/>
  <c r="E5" i="13"/>
  <c r="E7" i="13" s="1"/>
  <c r="F5" i="13"/>
  <c r="F7" i="13" s="1"/>
  <c r="G5" i="13"/>
  <c r="G7" i="13" s="1"/>
  <c r="H5" i="13"/>
  <c r="H7" i="13" s="1"/>
  <c r="I5" i="13"/>
  <c r="J5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6" i="13"/>
  <c r="K4" i="13"/>
  <c r="D4" i="11"/>
  <c r="K4" i="11" s="1"/>
  <c r="H18" i="10"/>
  <c r="G5" i="5"/>
  <c r="D5" i="6" s="1"/>
  <c r="F5" i="6" s="1"/>
  <c r="G6" i="5"/>
  <c r="D6" i="6" s="1"/>
  <c r="F6" i="6" s="1"/>
  <c r="G7" i="5"/>
  <c r="D7" i="6" s="1"/>
  <c r="F7" i="6" s="1"/>
  <c r="G8" i="5"/>
  <c r="D8" i="6" s="1"/>
  <c r="F8" i="6" s="1"/>
  <c r="G9" i="5"/>
  <c r="D9" i="6" s="1"/>
  <c r="F9" i="6" s="1"/>
  <c r="G10" i="5"/>
  <c r="D10" i="6" s="1"/>
  <c r="F10" i="6" s="1"/>
  <c r="G11" i="5"/>
  <c r="D11" i="6" s="1"/>
  <c r="F11" i="6" s="1"/>
  <c r="G12" i="5"/>
  <c r="D12" i="6" s="1"/>
  <c r="F12" i="6" s="1"/>
  <c r="G13" i="5"/>
  <c r="E5" i="5"/>
  <c r="E6" i="5"/>
  <c r="E7" i="5"/>
  <c r="E8" i="5"/>
  <c r="E9" i="5"/>
  <c r="E10" i="5"/>
  <c r="E11" i="5"/>
  <c r="E12" i="5"/>
  <c r="E13" i="5"/>
  <c r="D3" i="5" a="1"/>
  <c r="D3" i="5" s="1"/>
  <c r="E3" i="5" s="1"/>
  <c r="G3" i="5" s="1"/>
  <c r="D4" i="5" a="1"/>
  <c r="D4" i="5" s="1"/>
  <c r="E4" i="5" s="1"/>
  <c r="G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2" i="5" a="1"/>
  <c r="D2" i="5" s="1"/>
  <c r="E2" i="5" s="1"/>
  <c r="G2" i="5" s="1"/>
  <c r="E19" i="12"/>
  <c r="J12" i="4"/>
  <c r="C10" i="3" s="1"/>
  <c r="F10" i="3" s="1"/>
  <c r="B4" i="3"/>
  <c r="B5" i="3"/>
  <c r="B6" i="3"/>
  <c r="B7" i="3"/>
  <c r="B8" i="3"/>
  <c r="B9" i="3"/>
  <c r="B10" i="3"/>
  <c r="B11" i="3"/>
  <c r="B12" i="3"/>
  <c r="B13" i="3"/>
  <c r="B14" i="3"/>
  <c r="B3" i="3"/>
  <c r="E4" i="3"/>
  <c r="E5" i="3"/>
  <c r="E3" i="3"/>
  <c r="C2" i="5"/>
  <c r="F5" i="4"/>
  <c r="L15" i="3"/>
  <c r="K15" i="3"/>
  <c r="J15" i="3"/>
  <c r="I15" i="3"/>
  <c r="H15" i="3"/>
  <c r="F19" i="12"/>
  <c r="G19" i="12"/>
  <c r="H19" i="12"/>
  <c r="I19" i="12"/>
  <c r="J19" i="12"/>
  <c r="K19" i="12"/>
  <c r="L19" i="12"/>
  <c r="M19" i="12"/>
  <c r="N19" i="12"/>
  <c r="O19" i="12"/>
  <c r="P19" i="12"/>
  <c r="Q19" i="12"/>
  <c r="C2" i="11" a="1"/>
  <c r="C2" i="11" s="1"/>
  <c r="C5" i="11" s="1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4" i="9"/>
  <c r="F5" i="9"/>
  <c r="F3" i="9"/>
  <c r="D14" i="9"/>
  <c r="D17" i="9" s="1"/>
  <c r="D20" i="9" s="1"/>
  <c r="D23" i="9" s="1"/>
  <c r="D26" i="9" s="1"/>
  <c r="D29" i="9" s="1"/>
  <c r="D32" i="9" s="1"/>
  <c r="D35" i="9" s="1"/>
  <c r="D38" i="9" s="1"/>
  <c r="D11" i="9"/>
  <c r="D10" i="9"/>
  <c r="D13" i="9" s="1"/>
  <c r="D16" i="9" s="1"/>
  <c r="D19" i="9" s="1"/>
  <c r="D22" i="9" s="1"/>
  <c r="D25" i="9" s="1"/>
  <c r="D28" i="9" s="1"/>
  <c r="D31" i="9" s="1"/>
  <c r="D34" i="9" s="1"/>
  <c r="D37" i="9" s="1"/>
  <c r="D9" i="9"/>
  <c r="D12" i="9" s="1"/>
  <c r="D15" i="9" s="1"/>
  <c r="D18" i="9" s="1"/>
  <c r="D21" i="9" s="1"/>
  <c r="D24" i="9" s="1"/>
  <c r="D27" i="9" s="1"/>
  <c r="D30" i="9" s="1"/>
  <c r="D33" i="9" s="1"/>
  <c r="D36" i="9" s="1"/>
  <c r="D8" i="9"/>
  <c r="D7" i="9"/>
  <c r="D6" i="9"/>
  <c r="E15" i="8"/>
  <c r="E14" i="8"/>
  <c r="D15" i="8"/>
  <c r="C15" i="8"/>
  <c r="B15" i="8"/>
  <c r="D4" i="8"/>
  <c r="D5" i="8"/>
  <c r="D6" i="8"/>
  <c r="D7" i="8"/>
  <c r="D8" i="8"/>
  <c r="D9" i="8"/>
  <c r="D10" i="8"/>
  <c r="D11" i="8"/>
  <c r="D12" i="8"/>
  <c r="D13" i="8"/>
  <c r="D14" i="8"/>
  <c r="D3" i="8"/>
  <c r="E6" i="8"/>
  <c r="E7" i="8"/>
  <c r="E8" i="8" s="1"/>
  <c r="E9" i="8" s="1"/>
  <c r="E10" i="8" s="1"/>
  <c r="E11" i="8" s="1"/>
  <c r="E12" i="8" s="1"/>
  <c r="E13" i="8" s="1"/>
  <c r="E5" i="8"/>
  <c r="E4" i="8"/>
  <c r="E3" i="8"/>
  <c r="F4" i="7"/>
  <c r="F7" i="7"/>
  <c r="F8" i="7"/>
  <c r="F9" i="7"/>
  <c r="F10" i="7"/>
  <c r="F11" i="7"/>
  <c r="F12" i="7"/>
  <c r="F13" i="7"/>
  <c r="F14" i="7"/>
  <c r="D4" i="7"/>
  <c r="D5" i="7"/>
  <c r="F5" i="7" s="1"/>
  <c r="D6" i="7"/>
  <c r="F6" i="7" s="1"/>
  <c r="D7" i="7"/>
  <c r="D8" i="7"/>
  <c r="D9" i="7"/>
  <c r="D10" i="7"/>
  <c r="D11" i="7"/>
  <c r="D12" i="7"/>
  <c r="D13" i="7"/>
  <c r="D14" i="7"/>
  <c r="D3" i="7"/>
  <c r="F3" i="7" s="1"/>
  <c r="E4" i="7"/>
  <c r="E5" i="7"/>
  <c r="E6" i="7"/>
  <c r="E7" i="7"/>
  <c r="E8" i="7"/>
  <c r="E9" i="7"/>
  <c r="E10" i="7"/>
  <c r="E11" i="7"/>
  <c r="E12" i="7"/>
  <c r="E13" i="7"/>
  <c r="E14" i="7"/>
  <c r="E3" i="7"/>
  <c r="E14" i="6"/>
  <c r="D13" i="6"/>
  <c r="F13" i="6" s="1"/>
  <c r="F14" i="5"/>
  <c r="B14" i="5"/>
  <c r="G7" i="3"/>
  <c r="G8" i="3"/>
  <c r="G9" i="3"/>
  <c r="G10" i="3"/>
  <c r="G11" i="3"/>
  <c r="G12" i="3"/>
  <c r="G13" i="3"/>
  <c r="G14" i="3"/>
  <c r="G6" i="3"/>
  <c r="L6" i="3"/>
  <c r="L7" i="3"/>
  <c r="L8" i="3"/>
  <c r="L9" i="3"/>
  <c r="L10" i="3"/>
  <c r="L11" i="3"/>
  <c r="L12" i="3"/>
  <c r="L13" i="3"/>
  <c r="L14" i="3"/>
  <c r="H5" i="4"/>
  <c r="I5" i="4"/>
  <c r="J5" i="4"/>
  <c r="K5" i="4"/>
  <c r="L5" i="4"/>
  <c r="M5" i="4"/>
  <c r="N5" i="4"/>
  <c r="C5" i="4"/>
  <c r="L3" i="3"/>
  <c r="L4" i="3"/>
  <c r="L5" i="3"/>
  <c r="C5" i="13" l="1"/>
  <c r="D5" i="13"/>
  <c r="K3" i="13"/>
  <c r="I12" i="4"/>
  <c r="C9" i="3" s="1"/>
  <c r="F9" i="3" s="1"/>
  <c r="F12" i="4"/>
  <c r="C6" i="3" s="1"/>
  <c r="D6" i="3" s="1"/>
  <c r="M12" i="4"/>
  <c r="C13" i="3" s="1"/>
  <c r="D13" i="3" s="1"/>
  <c r="L12" i="4"/>
  <c r="C12" i="3" s="1"/>
  <c r="D12" i="3" s="1"/>
  <c r="H12" i="4"/>
  <c r="C8" i="3" s="1"/>
  <c r="D8" i="3" s="1"/>
  <c r="N12" i="4"/>
  <c r="C14" i="3" s="1"/>
  <c r="D14" i="3" s="1"/>
  <c r="K12" i="4"/>
  <c r="C11" i="3" s="1"/>
  <c r="F11" i="3" s="1"/>
  <c r="C14" i="5"/>
  <c r="D4" i="6"/>
  <c r="F4" i="6" s="1"/>
  <c r="D10" i="3"/>
  <c r="G5" i="4"/>
  <c r="G12" i="4" s="1"/>
  <c r="C7" i="3" s="1"/>
  <c r="D7" i="3" s="1"/>
  <c r="D3" i="11"/>
  <c r="C3" i="11"/>
  <c r="I3" i="11"/>
  <c r="J3" i="11"/>
  <c r="H3" i="11"/>
  <c r="G3" i="11"/>
  <c r="F3" i="11"/>
  <c r="E3" i="11"/>
  <c r="J5" i="11"/>
  <c r="I5" i="11"/>
  <c r="H5" i="11"/>
  <c r="G5" i="11"/>
  <c r="F5" i="11"/>
  <c r="E5" i="11"/>
  <c r="D5" i="11"/>
  <c r="E5" i="4"/>
  <c r="O11" i="4"/>
  <c r="O4" i="4"/>
  <c r="O9" i="4"/>
  <c r="O10" i="4"/>
  <c r="O7" i="4"/>
  <c r="O6" i="4"/>
  <c r="D7" i="13" l="1"/>
  <c r="C7" i="13"/>
  <c r="K7" i="13" s="1"/>
  <c r="K5" i="13"/>
  <c r="K27" i="13" s="1"/>
  <c r="D9" i="3"/>
  <c r="F8" i="3"/>
  <c r="F14" i="3"/>
  <c r="F13" i="3"/>
  <c r="F12" i="3"/>
  <c r="D11" i="3"/>
  <c r="F7" i="3"/>
  <c r="F6" i="3"/>
  <c r="K5" i="11"/>
  <c r="E15" i="3"/>
  <c r="D7" i="11"/>
  <c r="D6" i="11"/>
  <c r="D8" i="11" s="1"/>
  <c r="D9" i="11" s="1"/>
  <c r="E6" i="11"/>
  <c r="E7" i="11"/>
  <c r="F6" i="11"/>
  <c r="F7" i="11"/>
  <c r="G6" i="11"/>
  <c r="G7" i="11"/>
  <c r="H6" i="11"/>
  <c r="H7" i="11"/>
  <c r="J6" i="11"/>
  <c r="J8" i="11"/>
  <c r="J9" i="11" s="1"/>
  <c r="J7" i="11"/>
  <c r="I8" i="11"/>
  <c r="I9" i="11" s="1"/>
  <c r="I6" i="11"/>
  <c r="I7" i="11"/>
  <c r="C7" i="11"/>
  <c r="C6" i="11"/>
  <c r="D2" i="6"/>
  <c r="O5" i="4"/>
  <c r="O3" i="4"/>
  <c r="B27" i="13" l="1"/>
  <c r="G8" i="11"/>
  <c r="G9" i="11" s="1"/>
  <c r="F8" i="11"/>
  <c r="F9" i="11" s="1"/>
  <c r="C8" i="11"/>
  <c r="C9" i="11" s="1"/>
  <c r="E14" i="5"/>
  <c r="H8" i="11"/>
  <c r="H9" i="11" s="1"/>
  <c r="E8" i="11"/>
  <c r="E9" i="11" s="1"/>
  <c r="F2" i="6"/>
  <c r="E12" i="4" l="1"/>
  <c r="C5" i="3" s="1"/>
  <c r="D5" i="3" s="1"/>
  <c r="D12" i="4"/>
  <c r="C4" i="3" s="1"/>
  <c r="K9" i="11"/>
  <c r="D3" i="6"/>
  <c r="G14" i="5"/>
  <c r="F5" i="3" l="1"/>
  <c r="G5" i="3" s="1"/>
  <c r="F4" i="3"/>
  <c r="G4" i="3" s="1"/>
  <c r="D4" i="3"/>
  <c r="F3" i="6"/>
  <c r="F14" i="6" s="1"/>
  <c r="D14" i="6"/>
  <c r="O8" i="4" l="1"/>
  <c r="C12" i="4"/>
  <c r="C3" i="3" s="1"/>
  <c r="O12" i="4" l="1"/>
  <c r="F3" i="3" l="1"/>
  <c r="G3" i="3" s="1"/>
  <c r="D3" i="3"/>
  <c r="D15" i="3" s="1"/>
  <c r="C15" i="3"/>
  <c r="F15" i="3" s="1"/>
  <c r="G15" i="3" s="1"/>
  <c r="B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Yahya Chaker</author>
  </authors>
  <commentList>
    <comment ref="E2" authorId="0" shapeId="0" xr:uid="{B48B7322-55FC-4108-867C-5F680CCE3C54}">
      <text>
        <r>
          <rPr>
            <b/>
            <sz val="9"/>
            <color indexed="81"/>
            <rFont val="Tahoma"/>
            <charset val="1"/>
          </rPr>
          <t>Yahya Chaker:</t>
        </r>
        <r>
          <rPr>
            <sz val="9"/>
            <color indexed="81"/>
            <rFont val="Tahoma"/>
            <charset val="1"/>
          </rPr>
          <t xml:space="preserve">
Only Approved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5B67F-71FF-49DE-AC69-77CA56A9EB6B}" keepAlive="1" name="Query - Clients" description="Connection to the 'Clients' query in the workbook." type="5" refreshedVersion="0" background="1">
    <dbPr connection="Provider=Microsoft.Mashup.OleDb.1;Data Source=$Workbook$;Location=Clients;Extended Properties=&quot;&quot;" command="SELECT * FROM [Cli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<sst xmlns="http://schemas.openxmlformats.org/spreadsheetml/2006/main" count="311" uniqueCount="160">
  <si>
    <t>Project Title</t>
  </si>
  <si>
    <t>Project ref#</t>
  </si>
  <si>
    <t>Client</t>
  </si>
  <si>
    <t>Qatar Diar - LREDC</t>
  </si>
  <si>
    <t>Start Date</t>
  </si>
  <si>
    <t>End Date</t>
  </si>
  <si>
    <t>Project Value</t>
  </si>
  <si>
    <t>:</t>
  </si>
  <si>
    <t>Project Details</t>
  </si>
  <si>
    <t>Month</t>
  </si>
  <si>
    <t>Budgeted Cost</t>
  </si>
  <si>
    <t>Cost Variance</t>
  </si>
  <si>
    <t>Profit</t>
  </si>
  <si>
    <t>No. of Variations</t>
  </si>
  <si>
    <t>Total Variation Impact (Cost)</t>
  </si>
  <si>
    <t>BOQ (Planned Qty)</t>
  </si>
  <si>
    <t>Actual Qty</t>
  </si>
  <si>
    <t>BOQ Variance</t>
  </si>
  <si>
    <t>Budget vs, Actual Cost</t>
  </si>
  <si>
    <r>
      <t>Revenue &amp; Profitability</t>
    </r>
    <r>
      <rPr>
        <sz val="12"/>
        <color theme="1"/>
        <rFont val="Times New Roman"/>
        <family val="1"/>
      </rPr>
      <t xml:space="preserve"> </t>
    </r>
  </si>
  <si>
    <r>
      <t>Contract Variations &amp; Change Orders</t>
    </r>
    <r>
      <rPr>
        <sz val="12"/>
        <color theme="1"/>
        <rFont val="Times New Roman"/>
        <family val="1"/>
      </rPr>
      <t xml:space="preserve"> </t>
    </r>
  </si>
  <si>
    <t xml:space="preserve">BOQ vs. Actual </t>
  </si>
  <si>
    <t>Month/Year</t>
  </si>
  <si>
    <t>Profit Margin (GP)</t>
  </si>
  <si>
    <t>Category</t>
  </si>
  <si>
    <t>Year Total</t>
  </si>
  <si>
    <t>Subtotal Labor</t>
  </si>
  <si>
    <t>TOTAL OPEX (Actual)</t>
  </si>
  <si>
    <t>Actual Cost (OPEX)</t>
  </si>
  <si>
    <t>TOTAL</t>
  </si>
  <si>
    <t>Commercial Boulevard of Lusail</t>
  </si>
  <si>
    <t>KPI Score</t>
  </si>
  <si>
    <t>Base Bill</t>
  </si>
  <si>
    <t>KPI Deduction</t>
  </si>
  <si>
    <t>Penalty (Delayed WOs)</t>
  </si>
  <si>
    <t>Net Invoice</t>
  </si>
  <si>
    <t>KPI Deduction %</t>
  </si>
  <si>
    <t>Total</t>
  </si>
  <si>
    <t>Status</t>
  </si>
  <si>
    <t>Received</t>
  </si>
  <si>
    <t>Notes</t>
  </si>
  <si>
    <t>Submitted Date</t>
  </si>
  <si>
    <t>Submitted</t>
  </si>
  <si>
    <t>Under preparation</t>
  </si>
  <si>
    <t>Under Client Review</t>
  </si>
  <si>
    <t>Yes</t>
  </si>
  <si>
    <t>No</t>
  </si>
  <si>
    <t>Submitted Amount</t>
  </si>
  <si>
    <t>Certified Amount</t>
  </si>
  <si>
    <t xml:space="preserve">Revenue &amp; Profitability </t>
  </si>
  <si>
    <t>Note:</t>
  </si>
  <si>
    <t>Revenue &amp; Profitability include certified and uncertified amount</t>
  </si>
  <si>
    <t>disputed Amount</t>
  </si>
  <si>
    <t>Planned Tasks</t>
  </si>
  <si>
    <t>% Completion</t>
  </si>
  <si>
    <t>Carry-Over from Previous</t>
  </si>
  <si>
    <t>Notes/Remarks</t>
  </si>
  <si>
    <t>Any special reasons, etc.</t>
  </si>
  <si>
    <t>...</t>
  </si>
  <si>
    <t>Target</t>
  </si>
  <si>
    <t>WOs Raised</t>
  </si>
  <si>
    <t>WOs Completed</t>
  </si>
  <si>
    <t>Completion Rate</t>
  </si>
  <si>
    <t>Backlog (Open WOs)</t>
  </si>
  <si>
    <t>Raised WOs vs. Work Order Completion Rate</t>
  </si>
  <si>
    <t>SLA #</t>
  </si>
  <si>
    <t>SLA Name</t>
  </si>
  <si>
    <t>Target %</t>
  </si>
  <si>
    <t>Measured Value %</t>
  </si>
  <si>
    <t>Compliance Status</t>
  </si>
  <si>
    <t>Remarks</t>
  </si>
  <si>
    <t>SLA-01</t>
  </si>
  <si>
    <t>Response Time</t>
  </si>
  <si>
    <t>Work overload in Jan</t>
  </si>
  <si>
    <t>SLA-02</t>
  </si>
  <si>
    <t>Uptime</t>
  </si>
  <si>
    <t>SLA-03</t>
  </si>
  <si>
    <t>Safety Audit</t>
  </si>
  <si>
    <t>Improved staff levels</t>
  </si>
  <si>
    <t>Service Level Agreement (SLA) Compliance</t>
  </si>
  <si>
    <t>Systems included in SOW</t>
  </si>
  <si>
    <t>Ownership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</si>
  <si>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</si>
  <si>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</si>
  <si>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</si>
  <si>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</si>
  <si>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</si>
  <si>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</si>
  <si>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</si>
  <si>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</si>
  <si>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</si>
  <si>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</si>
  <si>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</si>
  <si>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</si>
  <si>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</si>
  <si>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</si>
  <si>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</si>
  <si>
    <t>In-House</t>
  </si>
  <si>
    <t>Subcontractor</t>
  </si>
  <si>
    <t>Active</t>
  </si>
  <si>
    <t>On Hold</t>
  </si>
  <si>
    <t>Not Started</t>
  </si>
  <si>
    <t>SR#</t>
  </si>
  <si>
    <t>Contract Value</t>
  </si>
  <si>
    <t>Services</t>
  </si>
  <si>
    <t>Subcontractor Detail</t>
  </si>
  <si>
    <t>Subcon-01</t>
  </si>
  <si>
    <t>Subcon-02</t>
  </si>
  <si>
    <t>Subcon-03</t>
  </si>
  <si>
    <t>Subcon-04</t>
  </si>
  <si>
    <t>Subcon-05</t>
  </si>
  <si>
    <t>Subcon-06</t>
  </si>
  <si>
    <t>Strat Date</t>
  </si>
  <si>
    <t>System Description</t>
  </si>
  <si>
    <t>Subcon Name</t>
  </si>
  <si>
    <t>Contract Duration</t>
  </si>
  <si>
    <t>Monthly Billing</t>
  </si>
  <si>
    <t>*if no amount is added then no invoice is received</t>
  </si>
  <si>
    <t>Base Invoice</t>
  </si>
  <si>
    <t>KPI / Deduction</t>
  </si>
  <si>
    <t>Total Subcon</t>
  </si>
  <si>
    <t>Trade / Role</t>
  </si>
  <si>
    <t>BOQ</t>
  </si>
  <si>
    <t>Actual as of</t>
  </si>
  <si>
    <t>FM Manager</t>
  </si>
  <si>
    <t>Electrical Engineer</t>
  </si>
  <si>
    <t>Mechanical Engineer</t>
  </si>
  <si>
    <t>HVAC Engineer</t>
  </si>
  <si>
    <t>ELV Engineer</t>
  </si>
  <si>
    <t>Electrician</t>
  </si>
  <si>
    <t>Plumber</t>
  </si>
  <si>
    <t>HVAC</t>
  </si>
  <si>
    <t>Helper</t>
  </si>
  <si>
    <t>Security</t>
  </si>
  <si>
    <t>Cleaner</t>
  </si>
  <si>
    <t>CBD123456LS</t>
  </si>
  <si>
    <t xml:space="preserve"> Labor Costs</t>
  </si>
  <si>
    <t>Direct Labor</t>
  </si>
  <si>
    <t>Indirect Labor</t>
  </si>
  <si>
    <t>Materials &amp; Consumables</t>
  </si>
  <si>
    <t>Equipment &amp; Tools</t>
  </si>
  <si>
    <t>Overheads &amp; Indirect Costs</t>
  </si>
  <si>
    <t>Subcontracted Services</t>
  </si>
  <si>
    <t>Utilities</t>
  </si>
  <si>
    <t>Other Variable Costs</t>
  </si>
  <si>
    <t>MEP Supervisor</t>
  </si>
  <si>
    <t>Reporting To</t>
  </si>
  <si>
    <t>ELV technician</t>
  </si>
  <si>
    <t>Security Supervisor</t>
  </si>
  <si>
    <t>Cleaning Supervisor</t>
  </si>
  <si>
    <t>Levels</t>
  </si>
  <si>
    <t>Teaboy</t>
  </si>
  <si>
    <t>Completed Tasks</t>
  </si>
  <si>
    <t>Planned vs. Completed Progress (PPM)</t>
  </si>
  <si>
    <t>Total Contract Value</t>
  </si>
  <si>
    <t>Total Budgeted Vlaue</t>
  </si>
  <si>
    <t>Bill Details</t>
  </si>
  <si>
    <t>Value</t>
  </si>
  <si>
    <t>Subcontractor Monthly Billing Submittal</t>
  </si>
  <si>
    <t>Subcontractors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</si>
</sst>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QAR]\ #,##0.00"/>
    <numFmt numFmtId="165" formatCode="0.0%"/>
    <numFmt numFmtId="166" formatCode="mmmm\-yyyy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 tint="-0.499984740745262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9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/>
      <top style="thick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 style="thick">
        <color indexed="64"/>
      </bottom>
      <diagonal/>
    </border>
    <border>
      <left style="hair">
        <color auto="1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9" fontId="3" fillId="0" borderId="19" xfId="2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7" fontId="3" fillId="0" borderId="29" xfId="0" applyNumberFormat="1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43" fontId="3" fillId="0" borderId="27" xfId="1" applyFont="1" applyBorder="1" applyAlignment="1">
      <alignment vertical="center" wrapText="1"/>
    </xf>
    <xf numFmtId="43" fontId="3" fillId="2" borderId="27" xfId="1" applyFont="1" applyFill="1" applyBorder="1" applyAlignment="1">
      <alignment vertical="center" wrapText="1"/>
    </xf>
    <xf numFmtId="43" fontId="3" fillId="0" borderId="30" xfId="1" applyFont="1" applyBorder="1" applyAlignment="1">
      <alignment vertical="center" wrapText="1"/>
    </xf>
    <xf numFmtId="43" fontId="3" fillId="2" borderId="30" xfId="1" applyFont="1" applyFill="1" applyBorder="1" applyAlignment="1">
      <alignment vertical="center" wrapText="1"/>
    </xf>
    <xf numFmtId="43" fontId="3" fillId="0" borderId="29" xfId="1" applyFont="1" applyBorder="1" applyAlignment="1">
      <alignment vertical="center" wrapText="1"/>
    </xf>
    <xf numFmtId="43" fontId="3" fillId="2" borderId="29" xfId="1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43" fontId="3" fillId="3" borderId="13" xfId="1" applyFont="1" applyFill="1" applyBorder="1" applyAlignment="1">
      <alignment vertical="center" wrapText="1"/>
    </xf>
    <xf numFmtId="17" fontId="2" fillId="0" borderId="13" xfId="0" applyNumberFormat="1" applyFont="1" applyBorder="1" applyAlignment="1">
      <alignment horizontal="center" vertical="center" wrapText="1"/>
    </xf>
    <xf numFmtId="43" fontId="3" fillId="0" borderId="23" xfId="1" applyFont="1" applyBorder="1" applyAlignment="1">
      <alignment vertical="center" wrapText="1"/>
    </xf>
    <xf numFmtId="43" fontId="3" fillId="0" borderId="24" xfId="1" applyFont="1" applyBorder="1" applyAlignment="1">
      <alignment vertical="center" wrapText="1"/>
    </xf>
    <xf numFmtId="43" fontId="3" fillId="0" borderId="17" xfId="1" applyFont="1" applyBorder="1" applyAlignment="1">
      <alignment vertical="center" wrapText="1"/>
    </xf>
    <xf numFmtId="43" fontId="3" fillId="0" borderId="18" xfId="1" applyFont="1" applyBorder="1" applyAlignment="1">
      <alignment vertical="center" wrapText="1"/>
    </xf>
    <xf numFmtId="43" fontId="3" fillId="0" borderId="19" xfId="1" applyFont="1" applyBorder="1" applyAlignment="1">
      <alignment vertical="center" wrapText="1"/>
    </xf>
    <xf numFmtId="43" fontId="3" fillId="0" borderId="20" xfId="1" applyFont="1" applyBorder="1" applyAlignment="1">
      <alignment vertical="center" wrapText="1"/>
    </xf>
    <xf numFmtId="43" fontId="3" fillId="0" borderId="21" xfId="1" applyFont="1" applyBorder="1" applyAlignment="1">
      <alignment vertical="center" wrapText="1"/>
    </xf>
    <xf numFmtId="43" fontId="3" fillId="0" borderId="22" xfId="1" applyFont="1" applyBorder="1" applyAlignment="1">
      <alignment vertical="center" wrapText="1"/>
    </xf>
    <xf numFmtId="43" fontId="3" fillId="0" borderId="15" xfId="1" applyFont="1" applyBorder="1" applyAlignment="1">
      <alignment vertical="center" wrapText="1"/>
    </xf>
    <xf numFmtId="43" fontId="3" fillId="0" borderId="16" xfId="1" applyFont="1" applyBorder="1" applyAlignment="1">
      <alignment vertical="center" wrapText="1"/>
    </xf>
    <xf numFmtId="43" fontId="3" fillId="0" borderId="34" xfId="1" applyFont="1" applyBorder="1" applyAlignment="1">
      <alignment vertical="center" wrapText="1"/>
    </xf>
    <xf numFmtId="43" fontId="3" fillId="0" borderId="35" xfId="1" applyFont="1" applyBorder="1" applyAlignment="1">
      <alignment vertical="center" wrapText="1"/>
    </xf>
    <xf numFmtId="9" fontId="3" fillId="0" borderId="36" xfId="2" applyFont="1" applyBorder="1" applyAlignment="1">
      <alignment vertical="center" wrapText="1"/>
    </xf>
    <xf numFmtId="43" fontId="3" fillId="0" borderId="43" xfId="1" applyFont="1" applyBorder="1" applyAlignment="1">
      <alignment vertical="center" wrapText="1"/>
    </xf>
    <xf numFmtId="43" fontId="3" fillId="0" borderId="44" xfId="1" applyFont="1" applyBorder="1" applyAlignment="1">
      <alignment vertical="center" wrapText="1"/>
    </xf>
    <xf numFmtId="43" fontId="3" fillId="0" borderId="42" xfId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17" fontId="3" fillId="3" borderId="28" xfId="0" applyNumberFormat="1" applyFont="1" applyFill="1" applyBorder="1" applyAlignment="1">
      <alignment vertical="center" wrapText="1"/>
    </xf>
    <xf numFmtId="43" fontId="3" fillId="3" borderId="32" xfId="1" applyFont="1" applyFill="1" applyBorder="1" applyAlignment="1">
      <alignment vertical="center" wrapText="1"/>
    </xf>
    <xf numFmtId="43" fontId="3" fillId="3" borderId="33" xfId="1" applyFont="1" applyFill="1" applyBorder="1" applyAlignment="1">
      <alignment vertical="center" wrapText="1"/>
    </xf>
    <xf numFmtId="43" fontId="3" fillId="3" borderId="37" xfId="1" applyFont="1" applyFill="1" applyBorder="1" applyAlignment="1">
      <alignment vertical="center" wrapText="1"/>
    </xf>
    <xf numFmtId="43" fontId="3" fillId="3" borderId="38" xfId="1" applyFont="1" applyFill="1" applyBorder="1" applyAlignment="1">
      <alignment vertical="center" wrapText="1"/>
    </xf>
    <xf numFmtId="9" fontId="3" fillId="3" borderId="39" xfId="2" applyFont="1" applyFill="1" applyBorder="1" applyAlignment="1">
      <alignment vertical="center" wrapText="1"/>
    </xf>
    <xf numFmtId="43" fontId="3" fillId="3" borderId="20" xfId="1" applyFont="1" applyFill="1" applyBorder="1" applyAlignment="1">
      <alignment vertical="center" wrapText="1"/>
    </xf>
    <xf numFmtId="43" fontId="3" fillId="3" borderId="42" xfId="1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5" fontId="7" fillId="0" borderId="6" xfId="0" applyNumberFormat="1" applyFont="1" applyBorder="1" applyAlignment="1">
      <alignment vertical="center"/>
    </xf>
    <xf numFmtId="164" fontId="7" fillId="0" borderId="9" xfId="0" applyNumberFormat="1" applyFont="1" applyBorder="1" applyAlignment="1">
      <alignment vertical="center"/>
    </xf>
    <xf numFmtId="9" fontId="3" fillId="0" borderId="17" xfId="2" applyFont="1" applyBorder="1" applyAlignment="1">
      <alignment vertical="center" wrapText="1"/>
    </xf>
    <xf numFmtId="9" fontId="3" fillId="0" borderId="18" xfId="2" applyFont="1" applyBorder="1" applyAlignment="1">
      <alignment vertical="center" wrapText="1"/>
    </xf>
    <xf numFmtId="9" fontId="3" fillId="0" borderId="17" xfId="2" applyFont="1" applyBorder="1"/>
    <xf numFmtId="43" fontId="3" fillId="0" borderId="18" xfId="1" applyFont="1" applyBorder="1"/>
    <xf numFmtId="9" fontId="3" fillId="0" borderId="20" xfId="2" applyFont="1" applyBorder="1"/>
    <xf numFmtId="43" fontId="3" fillId="0" borderId="21" xfId="1" applyFont="1" applyBorder="1"/>
    <xf numFmtId="0" fontId="4" fillId="3" borderId="46" xfId="0" applyFont="1" applyFill="1" applyBorder="1"/>
    <xf numFmtId="9" fontId="4" fillId="3" borderId="31" xfId="0" applyNumberFormat="1" applyFont="1" applyFill="1" applyBorder="1"/>
    <xf numFmtId="43" fontId="4" fillId="3" borderId="32" xfId="1" applyFont="1" applyFill="1" applyBorder="1"/>
    <xf numFmtId="0" fontId="4" fillId="3" borderId="32" xfId="0" applyFont="1" applyFill="1" applyBorder="1"/>
    <xf numFmtId="43" fontId="4" fillId="3" borderId="45" xfId="1" applyFont="1" applyFill="1" applyBorder="1"/>
    <xf numFmtId="0" fontId="0" fillId="0" borderId="18" xfId="0" applyBorder="1"/>
    <xf numFmtId="0" fontId="0" fillId="0" borderId="24" xfId="0" applyBorder="1"/>
    <xf numFmtId="0" fontId="0" fillId="0" borderId="47" xfId="0" applyBorder="1"/>
    <xf numFmtId="0" fontId="0" fillId="0" borderId="23" xfId="0" applyBorder="1"/>
    <xf numFmtId="0" fontId="0" fillId="0" borderId="17" xfId="0" applyBorder="1"/>
    <xf numFmtId="43" fontId="3" fillId="0" borderId="24" xfId="1" applyFont="1" applyBorder="1"/>
    <xf numFmtId="0" fontId="2" fillId="3" borderId="48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17" fontId="3" fillId="0" borderId="49" xfId="0" applyNumberFormat="1" applyFont="1" applyBorder="1"/>
    <xf numFmtId="0" fontId="3" fillId="0" borderId="23" xfId="0" applyFont="1" applyBorder="1"/>
    <xf numFmtId="14" fontId="3" fillId="0" borderId="24" xfId="0" applyNumberFormat="1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17" xfId="0" applyFont="1" applyBorder="1"/>
    <xf numFmtId="14" fontId="3" fillId="0" borderId="18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34" xfId="0" applyFont="1" applyBorder="1"/>
    <xf numFmtId="14" fontId="3" fillId="0" borderId="47" xfId="0" applyNumberFormat="1" applyFont="1" applyBorder="1"/>
    <xf numFmtId="43" fontId="3" fillId="0" borderId="35" xfId="1" applyFont="1" applyBorder="1"/>
    <xf numFmtId="0" fontId="3" fillId="0" borderId="47" xfId="0" applyFont="1" applyBorder="1"/>
    <xf numFmtId="0" fontId="3" fillId="0" borderId="36" xfId="0" applyFont="1" applyBorder="1"/>
    <xf numFmtId="0" fontId="3" fillId="3" borderId="48" xfId="0" applyFont="1" applyFill="1" applyBorder="1"/>
    <xf numFmtId="0" fontId="3" fillId="3" borderId="37" xfId="0" applyFont="1" applyFill="1" applyBorder="1"/>
    <xf numFmtId="0" fontId="3" fillId="3" borderId="38" xfId="0" applyFont="1" applyFill="1" applyBorder="1"/>
    <xf numFmtId="43" fontId="3" fillId="3" borderId="38" xfId="1" applyFont="1" applyFill="1" applyBorder="1"/>
    <xf numFmtId="0" fontId="3" fillId="3" borderId="39" xfId="0" applyFont="1" applyFill="1" applyBorder="1"/>
    <xf numFmtId="0" fontId="3" fillId="0" borderId="0" xfId="0" applyFont="1" applyAlignment="1">
      <alignment horizontal="center" vertical="center"/>
    </xf>
    <xf numFmtId="165" fontId="3" fillId="0" borderId="0" xfId="2" applyNumberFormat="1" applyFont="1"/>
    <xf numFmtId="165" fontId="3" fillId="0" borderId="18" xfId="2" applyNumberFormat="1" applyFont="1" applyBorder="1" applyAlignment="1">
      <alignment vertical="center" wrapText="1"/>
    </xf>
    <xf numFmtId="0" fontId="3" fillId="0" borderId="21" xfId="0" applyFont="1" applyBorder="1"/>
    <xf numFmtId="165" fontId="3" fillId="0" borderId="21" xfId="2" applyNumberFormat="1" applyFont="1" applyBorder="1" applyAlignment="1">
      <alignment vertical="center" wrapText="1"/>
    </xf>
    <xf numFmtId="0" fontId="3" fillId="0" borderId="22" xfId="0" applyFont="1" applyBorder="1"/>
    <xf numFmtId="17" fontId="3" fillId="0" borderId="23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17" fontId="3" fillId="0" borderId="14" xfId="0" applyNumberFormat="1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65" fontId="3" fillId="0" borderId="15" xfId="2" applyNumberFormat="1" applyFont="1" applyBorder="1" applyAlignment="1">
      <alignment vertical="center" wrapText="1"/>
    </xf>
    <xf numFmtId="0" fontId="3" fillId="0" borderId="5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9" fontId="0" fillId="0" borderId="0" xfId="2" applyFont="1"/>
    <xf numFmtId="0" fontId="0" fillId="0" borderId="21" xfId="0" applyBorder="1"/>
    <xf numFmtId="9" fontId="3" fillId="0" borderId="24" xfId="2" applyFont="1" applyBorder="1" applyAlignment="1">
      <alignment vertical="center" wrapText="1"/>
    </xf>
    <xf numFmtId="9" fontId="2" fillId="4" borderId="21" xfId="2" applyFont="1" applyFill="1" applyBorder="1" applyAlignment="1">
      <alignment vertical="center" wrapText="1"/>
    </xf>
    <xf numFmtId="9" fontId="3" fillId="0" borderId="47" xfId="2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6" fillId="4" borderId="37" xfId="0" applyFont="1" applyFill="1" applyBorder="1"/>
    <xf numFmtId="0" fontId="6" fillId="4" borderId="38" xfId="0" applyFont="1" applyFill="1" applyBorder="1"/>
    <xf numFmtId="9" fontId="6" fillId="4" borderId="38" xfId="2" applyFont="1" applyFill="1" applyBorder="1" applyAlignment="1">
      <alignment vertical="center" wrapText="1"/>
    </xf>
    <xf numFmtId="0" fontId="6" fillId="4" borderId="3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9" fontId="3" fillId="0" borderId="15" xfId="0" applyNumberFormat="1" applyFont="1" applyBorder="1" applyAlignment="1">
      <alignment vertical="center" wrapText="1"/>
    </xf>
    <xf numFmtId="9" fontId="3" fillId="0" borderId="18" xfId="0" applyNumberFormat="1" applyFont="1" applyBorder="1" applyAlignment="1">
      <alignment vertical="center" wrapText="1"/>
    </xf>
    <xf numFmtId="10" fontId="3" fillId="0" borderId="18" xfId="0" applyNumberFormat="1" applyFont="1" applyBorder="1" applyAlignment="1">
      <alignment vertical="center" wrapText="1"/>
    </xf>
    <xf numFmtId="9" fontId="3" fillId="0" borderId="21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165" fontId="2" fillId="4" borderId="21" xfId="2" applyNumberFormat="1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5" fontId="0" fillId="0" borderId="18" xfId="0" applyNumberFormat="1" applyBorder="1"/>
    <xf numFmtId="43" fontId="0" fillId="0" borderId="19" xfId="1" applyFont="1" applyBorder="1"/>
    <xf numFmtId="0" fontId="0" fillId="0" borderId="20" xfId="0" applyBorder="1"/>
    <xf numFmtId="43" fontId="0" fillId="0" borderId="22" xfId="1" applyFont="1" applyBorder="1"/>
    <xf numFmtId="15" fontId="0" fillId="0" borderId="24" xfId="0" applyNumberFormat="1" applyBorder="1"/>
    <xf numFmtId="43" fontId="0" fillId="0" borderId="25" xfId="1" applyFont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66" fontId="3" fillId="0" borderId="52" xfId="0" applyNumberFormat="1" applyFont="1" applyBorder="1"/>
    <xf numFmtId="166" fontId="3" fillId="5" borderId="15" xfId="0" applyNumberFormat="1" applyFont="1" applyFill="1" applyBorder="1"/>
    <xf numFmtId="166" fontId="3" fillId="0" borderId="53" xfId="0" applyNumberFormat="1" applyFont="1" applyBorder="1"/>
    <xf numFmtId="166" fontId="3" fillId="0" borderId="21" xfId="0" applyNumberFormat="1" applyFont="1" applyBorder="1"/>
    <xf numFmtId="0" fontId="3" fillId="0" borderId="54" xfId="0" applyFont="1" applyBorder="1"/>
    <xf numFmtId="0" fontId="3" fillId="0" borderId="55" xfId="0" applyFont="1" applyBorder="1"/>
    <xf numFmtId="0" fontId="3" fillId="3" borderId="18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0" borderId="57" xfId="0" applyFont="1" applyBorder="1"/>
    <xf numFmtId="43" fontId="3" fillId="0" borderId="57" xfId="1" applyFont="1" applyBorder="1"/>
    <xf numFmtId="14" fontId="3" fillId="0" borderId="60" xfId="0" applyNumberFormat="1" applyFont="1" applyBorder="1"/>
    <xf numFmtId="14" fontId="3" fillId="0" borderId="61" xfId="0" applyNumberFormat="1" applyFont="1" applyBorder="1"/>
    <xf numFmtId="14" fontId="3" fillId="0" borderId="18" xfId="1" applyNumberFormat="1" applyFont="1" applyBorder="1"/>
    <xf numFmtId="14" fontId="3" fillId="0" borderId="44" xfId="1" applyNumberFormat="1" applyFont="1" applyBorder="1"/>
    <xf numFmtId="0" fontId="3" fillId="0" borderId="58" xfId="0" applyFont="1" applyBorder="1"/>
    <xf numFmtId="166" fontId="3" fillId="0" borderId="63" xfId="0" applyNumberFormat="1" applyFont="1" applyBorder="1"/>
    <xf numFmtId="166" fontId="3" fillId="0" borderId="47" xfId="0" applyNumberFormat="1" applyFont="1" applyBorder="1"/>
    <xf numFmtId="0" fontId="4" fillId="3" borderId="65" xfId="0" applyFont="1" applyFill="1" applyBorder="1"/>
    <xf numFmtId="43" fontId="4" fillId="3" borderId="66" xfId="0" applyNumberFormat="1" applyFont="1" applyFill="1" applyBorder="1"/>
    <xf numFmtId="43" fontId="4" fillId="3" borderId="66" xfId="1" applyFont="1" applyFill="1" applyBorder="1"/>
    <xf numFmtId="17" fontId="2" fillId="3" borderId="53" xfId="0" applyNumberFormat="1" applyFont="1" applyFill="1" applyBorder="1" applyAlignment="1">
      <alignment vertical="center"/>
    </xf>
    <xf numFmtId="0" fontId="3" fillId="3" borderId="23" xfId="0" applyFont="1" applyFill="1" applyBorder="1"/>
    <xf numFmtId="0" fontId="3" fillId="3" borderId="43" xfId="0" applyFont="1" applyFill="1" applyBorder="1"/>
    <xf numFmtId="0" fontId="3" fillId="6" borderId="29" xfId="0" applyFont="1" applyFill="1" applyBorder="1"/>
    <xf numFmtId="0" fontId="3" fillId="3" borderId="17" xfId="0" applyFont="1" applyFill="1" applyBorder="1"/>
    <xf numFmtId="0" fontId="3" fillId="3" borderId="44" xfId="0" applyFont="1" applyFill="1" applyBorder="1"/>
    <xf numFmtId="0" fontId="3" fillId="6" borderId="27" xfId="0" applyFont="1" applyFill="1" applyBorder="1"/>
    <xf numFmtId="0" fontId="3" fillId="3" borderId="42" xfId="0" applyFont="1" applyFill="1" applyBorder="1"/>
    <xf numFmtId="0" fontId="3" fillId="6" borderId="28" xfId="0" applyFont="1" applyFill="1" applyBorder="1"/>
    <xf numFmtId="0" fontId="3" fillId="0" borderId="53" xfId="0" applyFont="1" applyBorder="1"/>
    <xf numFmtId="0" fontId="2" fillId="2" borderId="0" xfId="0" applyFont="1" applyFill="1"/>
    <xf numFmtId="0" fontId="11" fillId="2" borderId="62" xfId="0" applyFont="1" applyFill="1" applyBorder="1"/>
    <xf numFmtId="43" fontId="3" fillId="0" borderId="23" xfId="1" quotePrefix="1" applyFont="1" applyBorder="1" applyAlignment="1">
      <alignment vertical="center" wrapText="1"/>
    </xf>
    <xf numFmtId="0" fontId="12" fillId="0" borderId="0" xfId="0" applyFont="1"/>
    <xf numFmtId="0" fontId="3" fillId="3" borderId="68" xfId="0" applyFont="1" applyFill="1" applyBorder="1"/>
    <xf numFmtId="0" fontId="3" fillId="3" borderId="69" xfId="0" applyFont="1" applyFill="1" applyBorder="1"/>
    <xf numFmtId="0" fontId="3" fillId="3" borderId="67" xfId="0" applyFont="1" applyFill="1" applyBorder="1"/>
    <xf numFmtId="0" fontId="11" fillId="2" borderId="0" xfId="0" applyFont="1" applyFill="1"/>
    <xf numFmtId="0" fontId="3" fillId="3" borderId="64" xfId="0" applyFont="1" applyFill="1" applyBorder="1"/>
    <xf numFmtId="0" fontId="3" fillId="3" borderId="70" xfId="0" applyFont="1" applyFill="1" applyBorder="1"/>
    <xf numFmtId="0" fontId="3" fillId="6" borderId="30" xfId="0" applyFont="1" applyFill="1" applyBorder="1"/>
    <xf numFmtId="0" fontId="3" fillId="0" borderId="63" xfId="0" applyFont="1" applyBorder="1"/>
    <xf numFmtId="17" fontId="3" fillId="0" borderId="49" xfId="0" applyNumberFormat="1" applyFont="1" applyBorder="1" applyAlignment="1">
      <alignment vertical="center" wrapText="1"/>
    </xf>
    <xf numFmtId="9" fontId="3" fillId="0" borderId="23" xfId="2" applyFont="1" applyBorder="1" applyAlignment="1">
      <alignment vertical="center" wrapText="1"/>
    </xf>
    <xf numFmtId="43" fontId="3" fillId="0" borderId="25" xfId="1" applyFont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14" fontId="3" fillId="0" borderId="77" xfId="0" applyNumberFormat="1" applyFont="1" applyBorder="1"/>
    <xf numFmtId="14" fontId="3" fillId="0" borderId="75" xfId="1" applyNumberFormat="1" applyFont="1" applyBorder="1"/>
    <xf numFmtId="0" fontId="3" fillId="0" borderId="76" xfId="0" applyFont="1" applyBorder="1"/>
    <xf numFmtId="43" fontId="4" fillId="3" borderId="33" xfId="1" applyFont="1" applyFill="1" applyBorder="1"/>
    <xf numFmtId="0" fontId="3" fillId="3" borderId="0" xfId="0" applyFont="1" applyFill="1"/>
    <xf numFmtId="0" fontId="3" fillId="3" borderId="62" xfId="0" applyFont="1" applyFill="1" applyBorder="1"/>
    <xf numFmtId="0" fontId="3" fillId="6" borderId="0" xfId="0" applyFont="1" applyFill="1"/>
    <xf numFmtId="0" fontId="15" fillId="3" borderId="20" xfId="0" applyFont="1" applyFill="1" applyBorder="1"/>
    <xf numFmtId="0" fontId="15" fillId="3" borderId="21" xfId="0" applyFont="1" applyFill="1" applyBorder="1"/>
    <xf numFmtId="43" fontId="15" fillId="3" borderId="22" xfId="1" applyFont="1" applyFill="1" applyBorder="1"/>
    <xf numFmtId="0" fontId="15" fillId="0" borderId="0" xfId="0" applyFont="1"/>
    <xf numFmtId="0" fontId="3" fillId="2" borderId="83" xfId="0" applyFont="1" applyFill="1" applyBorder="1" applyAlignment="1">
      <alignment horizontal="center"/>
    </xf>
    <xf numFmtId="0" fontId="3" fillId="2" borderId="84" xfId="0" applyFont="1" applyFill="1" applyBorder="1" applyAlignment="1">
      <alignment horizontal="center"/>
    </xf>
    <xf numFmtId="43" fontId="3" fillId="0" borderId="88" xfId="0" applyNumberFormat="1" applyFont="1" applyBorder="1"/>
    <xf numFmtId="43" fontId="3" fillId="0" borderId="89" xfId="0" applyNumberFormat="1" applyFont="1" applyBorder="1"/>
    <xf numFmtId="43" fontId="3" fillId="0" borderId="90" xfId="0" applyNumberFormat="1" applyFont="1" applyBorder="1"/>
    <xf numFmtId="43" fontId="3" fillId="0" borderId="47" xfId="1" applyFont="1" applyFill="1" applyBorder="1" applyAlignment="1">
      <alignment horizontal="center"/>
    </xf>
    <xf numFmtId="43" fontId="3" fillId="0" borderId="64" xfId="1" applyFont="1" applyFill="1" applyBorder="1" applyAlignment="1">
      <alignment horizontal="center"/>
    </xf>
    <xf numFmtId="43" fontId="3" fillId="2" borderId="78" xfId="1" applyFont="1" applyFill="1" applyBorder="1" applyAlignment="1">
      <alignment horizontal="center" vertical="center"/>
    </xf>
    <xf numFmtId="0" fontId="3" fillId="0" borderId="91" xfId="0" applyFont="1" applyBorder="1"/>
    <xf numFmtId="0" fontId="2" fillId="0" borderId="0" xfId="0" applyFont="1" applyAlignment="1">
      <alignment horizontal="center"/>
    </xf>
    <xf numFmtId="43" fontId="3" fillId="5" borderId="79" xfId="1" applyFont="1" applyFill="1" applyBorder="1"/>
    <xf numFmtId="43" fontId="3" fillId="0" borderId="80" xfId="1" applyFont="1" applyBorder="1"/>
    <xf numFmtId="43" fontId="3" fillId="0" borderId="81" xfId="1" applyFont="1" applyBorder="1"/>
    <xf numFmtId="43" fontId="3" fillId="5" borderId="15" xfId="1" applyFont="1" applyFill="1" applyBorder="1"/>
    <xf numFmtId="43" fontId="3" fillId="0" borderId="42" xfId="1" applyFont="1" applyBorder="1"/>
    <xf numFmtId="43" fontId="3" fillId="5" borderId="50" xfId="1" applyFont="1" applyFill="1" applyBorder="1"/>
    <xf numFmtId="43" fontId="3" fillId="0" borderId="47" xfId="1" applyFont="1" applyBorder="1"/>
    <xf numFmtId="43" fontId="3" fillId="0" borderId="64" xfId="1" applyFont="1" applyBorder="1"/>
    <xf numFmtId="43" fontId="3" fillId="0" borderId="58" xfId="1" applyFont="1" applyBorder="1"/>
    <xf numFmtId="43" fontId="3" fillId="0" borderId="76" xfId="1" applyFont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7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72" xfId="0" applyFont="1" applyFill="1" applyBorder="1" applyAlignment="1">
      <alignment horizontal="center" vertical="center"/>
    </xf>
    <xf numFmtId="0" fontId="2" fillId="3" borderId="7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7" fontId="3" fillId="0" borderId="14" xfId="0" applyNumberFormat="1" applyFont="1" applyBorder="1" applyAlignment="1">
      <alignment horizontal="center" vertical="center" wrapText="1"/>
    </xf>
    <xf numFmtId="17" fontId="3" fillId="0" borderId="17" xfId="0" applyNumberFormat="1" applyFont="1" applyBorder="1" applyAlignment="1">
      <alignment horizontal="center" vertical="center" wrapText="1"/>
    </xf>
    <xf numFmtId="17" fontId="3" fillId="0" borderId="20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2" fillId="0" borderId="59" xfId="0" applyFont="1" applyBorder="1"/>
    <xf numFmtId="0" fontId="2" fillId="0" borderId="60" xfId="0" applyFont="1" applyBorder="1"/>
    <xf numFmtId="0" fontId="2" fillId="0" borderId="55" xfId="0" applyFont="1" applyBorder="1"/>
    <xf numFmtId="0" fontId="2" fillId="0" borderId="18" xfId="0" applyFont="1" applyBorder="1"/>
    <xf numFmtId="0" fontId="2" fillId="0" borderId="56" xfId="0" applyFont="1" applyBorder="1"/>
    <xf numFmtId="0" fontId="2" fillId="0" borderId="57" xfId="0" applyFont="1" applyBorder="1"/>
    <xf numFmtId="0" fontId="2" fillId="0" borderId="86" xfId="0" applyFont="1" applyBorder="1"/>
    <xf numFmtId="0" fontId="2" fillId="0" borderId="87" xfId="0" applyFont="1" applyBorder="1"/>
    <xf numFmtId="0" fontId="2" fillId="0" borderId="69" xfId="0" applyFont="1" applyBorder="1"/>
    <xf numFmtId="0" fontId="16" fillId="0" borderId="92" xfId="0" applyFont="1" applyBorder="1" applyAlignment="1">
      <alignment horizontal="center"/>
    </xf>
    <xf numFmtId="0" fontId="3" fillId="2" borderId="85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2" fillId="0" borderId="82" xfId="0" applyFont="1" applyBorder="1"/>
    <xf numFmtId="0" fontId="2" fillId="0" borderId="83" xfId="0" applyFont="1" applyBorder="1"/>
    <xf numFmtId="0" fontId="11" fillId="0" borderId="5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6" fillId="0" borderId="51" xfId="0" applyFont="1" applyBorder="1"/>
  </cellXfs>
  <cellStyles count="3">
    <cellStyle name="Comma" xfId="1" builtinId="3"/>
    <cellStyle name="Normal" xfId="0" builtinId="0"/>
    <cellStyle name="Percent" xfId="2" builtinId="5"/>
  </cellStyles>
  <dxfs count="10">
    <dxf>
      <fill>
        <patternFill>
          <bgColor rgb="FFFFB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9"/>
      </font>
    </dxf>
    <dxf>
      <fill>
        <patternFill>
          <bgColor rgb="FFFF9F9F"/>
        </patternFill>
      </fill>
    </dxf>
    <dxf>
      <fill>
        <patternFill>
          <bgColor rgb="FF92D050"/>
        </patternFill>
      </fill>
    </dxf>
    <dxf>
      <font>
        <color rgb="FF9C0006"/>
      </font>
    </dxf>
    <dxf>
      <font>
        <color theme="9"/>
      </font>
    </dxf>
    <dxf>
      <fill>
        <patternFill>
          <bgColor theme="9" tint="0.59996337778862885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00FF"/>
      <color rgb="FFFFBDBD"/>
      <color rgb="FFFF757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hya%20Chaker\OneDrive\Desktop\Projects%20Performance\PublicData.xlsx" TargetMode="External"/><Relationship Id="rId1" Type="http://schemas.openxmlformats.org/officeDocument/2006/relationships/externalLinkPath" Target="/Users/Yahya%20Chaker/OneDrive/Desktop/Projects%20Performance/Public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be783a61aeb42e8/Desktop/Projects%20Performance/PublicData.xlsx" TargetMode="External"/><Relationship Id="rId1" Type="http://schemas.openxmlformats.org/officeDocument/2006/relationships/externalLinkPath" Target="/Users/Yahya%20Chaker/OneDrive/Desktop/Project%20Performance%20Review%20-%2001/business-dashboard/business-dashboard/public/Public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>
        <row r="2">
          <cell r="A2">
            <v>1</v>
          </cell>
          <cell r="B2">
            <v>0.9</v>
          </cell>
          <cell r="C2">
            <v>0</v>
          </cell>
        </row>
        <row r="3">
          <cell r="A3">
            <v>0.9</v>
          </cell>
          <cell r="B3">
            <v>0.85</v>
          </cell>
          <cell r="C3">
            <v>0.01</v>
          </cell>
        </row>
        <row r="4">
          <cell r="A4">
            <v>0.85</v>
          </cell>
          <cell r="B4">
            <v>0.8</v>
          </cell>
          <cell r="C4">
            <v>0.02</v>
          </cell>
        </row>
        <row r="5">
          <cell r="A5">
            <v>0.8</v>
          </cell>
          <cell r="B5">
            <v>0.75</v>
          </cell>
          <cell r="C5">
            <v>0.03</v>
          </cell>
        </row>
        <row r="6">
          <cell r="A6">
            <v>0.75</v>
          </cell>
          <cell r="B6">
            <v>0.7</v>
          </cell>
          <cell r="C6">
            <v>0.04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/>
      <sheetData sheetId="3">
        <row r="2">
          <cell r="C2">
            <v>0.95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981916-5031-48E2-84C1-18A24530CE4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7jey_SfjDuw6TLwz1vv9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0D06-8197-47FF-A31E-E19386032F7C}">
  <sheetPr>
    <tabColor theme="9"/>
  </sheetPr>
  <dimension ref="A1:D7"/>
  <sheetViews>
    <sheetView showGridLines="0" zoomScaleNormal="100" workbookViewId="0">
      <selection activeCell="D8" sqref="D8"/>
    </sheetView>
  </sheetViews>
  <sheetFormatPr defaultRowHeight="13.8" x14ac:dyDescent="0.25"/>
  <cols>
    <col min="1" max="1" width="2" style="10" bestFit="1" customWidth="1"/>
    <col min="2" max="2" width="18.5546875" style="10" customWidth="1"/>
    <col min="3" max="3" width="3.44140625" style="111" customWidth="1"/>
    <col min="4" max="4" width="71.6640625" style="10" customWidth="1"/>
    <col min="5" max="16384" width="8.88671875" style="10"/>
  </cols>
  <sheetData>
    <row r="1" spans="1:4" ht="23.4" thickBot="1" x14ac:dyDescent="0.45">
      <c r="A1" s="239" t="s">
        <v>8</v>
      </c>
      <c r="B1" s="240"/>
      <c r="C1" s="240"/>
      <c r="D1" s="241"/>
    </row>
    <row r="2" spans="1:4" ht="30" customHeight="1" x14ac:dyDescent="0.25">
      <c r="A2" s="1">
        <v>1</v>
      </c>
      <c r="B2" s="2" t="s">
        <v>0</v>
      </c>
      <c r="C2" s="3" t="s">
        <v>7</v>
      </c>
      <c r="D2" s="67" t="s">
        <v>30</v>
      </c>
    </row>
    <row r="3" spans="1:4" ht="30" customHeight="1" x14ac:dyDescent="0.25">
      <c r="A3" s="4">
        <v>2</v>
      </c>
      <c r="B3" s="5" t="s">
        <v>1</v>
      </c>
      <c r="C3" s="6" t="s">
        <v>7</v>
      </c>
      <c r="D3" s="68" t="s">
        <v>135</v>
      </c>
    </row>
    <row r="4" spans="1:4" ht="30" customHeight="1" x14ac:dyDescent="0.25">
      <c r="A4" s="4">
        <v>3</v>
      </c>
      <c r="B4" s="5" t="s">
        <v>2</v>
      </c>
      <c r="C4" s="6" t="s">
        <v>7</v>
      </c>
      <c r="D4" s="68" t="s">
        <v>3</v>
      </c>
    </row>
    <row r="5" spans="1:4" ht="30" customHeight="1" x14ac:dyDescent="0.25">
      <c r="A5" s="4">
        <v>4</v>
      </c>
      <c r="B5" s="5" t="s">
        <v>4</v>
      </c>
      <c r="C5" s="6" t="s">
        <v>7</v>
      </c>
      <c r="D5" s="69">
        <v>44896</v>
      </c>
    </row>
    <row r="6" spans="1:4" ht="30" customHeight="1" x14ac:dyDescent="0.25">
      <c r="A6" s="4">
        <v>5</v>
      </c>
      <c r="B6" s="5" t="s">
        <v>5</v>
      </c>
      <c r="C6" s="6" t="s">
        <v>7</v>
      </c>
      <c r="D6" s="69">
        <v>46172</v>
      </c>
    </row>
    <row r="7" spans="1:4" ht="30" customHeight="1" thickBot="1" x14ac:dyDescent="0.3">
      <c r="A7" s="7">
        <v>6</v>
      </c>
      <c r="B7" s="8" t="s">
        <v>6</v>
      </c>
      <c r="C7" s="9" t="s">
        <v>7</v>
      </c>
      <c r="D7" s="70">
        <v>83000000</v>
      </c>
    </row>
  </sheetData>
  <mergeCells count="1">
    <mergeCell ref="A1:D1"/>
  </mergeCells>
  <dataValidations count="1">
    <dataValidation type="list" allowBlank="1" showInputMessage="1" showErrorMessage="1" sqref="D4" xr:uid="{9925540F-FD6C-439D-AA3D-6BE70C17F4D4}">
      <formula1>INDIRECT("[PublicData.xlsx]Clients!$B$2:$B$18")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322C-DEEC-4BF8-8AC2-AF0D68367F46}">
  <sheetPr>
    <tabColor theme="5" tint="-0.249977111117893"/>
  </sheetPr>
  <dimension ref="A1:L17"/>
  <sheetViews>
    <sheetView tabSelected="1" workbookViewId="0">
      <selection activeCell="I7" sqref="I7"/>
    </sheetView>
  </sheetViews>
  <sheetFormatPr defaultRowHeight="13.8" x14ac:dyDescent="0.25"/>
  <cols>
    <col min="1" max="1" width="11.33203125" style="10" customWidth="1"/>
    <col min="2" max="8" width="13" style="10" customWidth="1"/>
    <col min="9" max="9" width="13.5546875" style="10" bestFit="1" customWidth="1"/>
    <col min="10" max="12" width="13" style="10" customWidth="1"/>
    <col min="13" max="16384" width="8.88671875" style="10"/>
  </cols>
  <sheetData>
    <row r="1" spans="1:12" ht="33.6" customHeight="1" x14ac:dyDescent="0.25">
      <c r="A1" s="245" t="s">
        <v>22</v>
      </c>
      <c r="B1" s="242" t="s">
        <v>18</v>
      </c>
      <c r="C1" s="243"/>
      <c r="D1" s="244"/>
      <c r="E1" s="242" t="s">
        <v>19</v>
      </c>
      <c r="F1" s="243"/>
      <c r="G1" s="244"/>
      <c r="H1" s="247" t="s">
        <v>20</v>
      </c>
      <c r="I1" s="248"/>
      <c r="J1" s="242" t="s">
        <v>21</v>
      </c>
      <c r="K1" s="243"/>
      <c r="L1" s="244"/>
    </row>
    <row r="2" spans="1:12" s="15" customFormat="1" ht="41.4" x14ac:dyDescent="0.25">
      <c r="A2" s="246"/>
      <c r="B2" s="63" t="s">
        <v>10</v>
      </c>
      <c r="C2" s="64" t="s">
        <v>28</v>
      </c>
      <c r="D2" s="65" t="s">
        <v>11</v>
      </c>
      <c r="E2" s="63" t="s">
        <v>49</v>
      </c>
      <c r="F2" s="64" t="s">
        <v>12</v>
      </c>
      <c r="G2" s="65" t="s">
        <v>23</v>
      </c>
      <c r="H2" s="63" t="s">
        <v>13</v>
      </c>
      <c r="I2" s="66" t="s">
        <v>14</v>
      </c>
      <c r="J2" s="63" t="s">
        <v>15</v>
      </c>
      <c r="K2" s="64" t="s">
        <v>16</v>
      </c>
      <c r="L2" s="65" t="s">
        <v>17</v>
      </c>
    </row>
    <row r="3" spans="1:12" x14ac:dyDescent="0.25">
      <c r="A3" s="16">
        <v>45688</v>
      </c>
      <c r="B3" s="191">
        <f>('Project Overview'!$D$7/DATEDIF('Project Overview'!$D$5, 'Project Overview'!$D$6, "M")) *80%</f>
        <v>1619512.1951219514</v>
      </c>
      <c r="C3" s="42">
        <f>OPEX!C12</f>
        <v>1478033.3333333335</v>
      </c>
      <c r="D3" s="43">
        <f t="shared" ref="D3:D5" si="0">IF(C3&gt;0,C3-B3,0)</f>
        <v>-141478.86178861791</v>
      </c>
      <c r="E3" s="191">
        <f>Billing!E2</f>
        <v>1850000</v>
      </c>
      <c r="F3" s="35">
        <f>E3-C3</f>
        <v>371966.66666666651</v>
      </c>
      <c r="G3" s="11">
        <f t="shared" ref="G3:G5" si="1">IF(E3&lt;&gt;0,F3 / E3,0)</f>
        <v>0.20106306306306299</v>
      </c>
      <c r="H3" s="34">
        <v>2</v>
      </c>
      <c r="I3" s="47">
        <v>1500000</v>
      </c>
      <c r="J3" s="34">
        <v>500</v>
      </c>
      <c r="K3" s="50">
        <v>480</v>
      </c>
      <c r="L3" s="14">
        <f>K3-J3</f>
        <v>-20</v>
      </c>
    </row>
    <row r="4" spans="1:12" x14ac:dyDescent="0.25">
      <c r="A4" s="16">
        <v>45716</v>
      </c>
      <c r="B4" s="191">
        <f>('Project Overview'!$D$7/DATEDIF('Project Overview'!$D$5, 'Project Overview'!$D$6, "M")) *80%</f>
        <v>1619512.1951219514</v>
      </c>
      <c r="C4" s="37">
        <f>OPEX!D12</f>
        <v>1128893.3333333335</v>
      </c>
      <c r="D4" s="38">
        <f t="shared" si="0"/>
        <v>-490618.86178861791</v>
      </c>
      <c r="E4" s="191">
        <f>Billing!E3</f>
        <v>1630000</v>
      </c>
      <c r="F4" s="35">
        <f t="shared" ref="F4:F15" si="2">E4-C4</f>
        <v>501106.66666666651</v>
      </c>
      <c r="G4" s="11">
        <f t="shared" si="1"/>
        <v>0.30742740286298559</v>
      </c>
      <c r="H4" s="36">
        <v>1</v>
      </c>
      <c r="I4" s="48">
        <v>500000</v>
      </c>
      <c r="J4" s="36">
        <v>600</v>
      </c>
      <c r="K4" s="51">
        <v>610</v>
      </c>
      <c r="L4" s="12">
        <f>K4-J4</f>
        <v>10</v>
      </c>
    </row>
    <row r="5" spans="1:12" x14ac:dyDescent="0.25">
      <c r="A5" s="16">
        <v>45747</v>
      </c>
      <c r="B5" s="191">
        <f>('Project Overview'!$D$7/DATEDIF('Project Overview'!$D$5, 'Project Overview'!$D$6, "M")) *80%</f>
        <v>1619512.1951219514</v>
      </c>
      <c r="C5" s="37">
        <f>OPEX!E12</f>
        <v>1393264.3333333335</v>
      </c>
      <c r="D5" s="38">
        <f t="shared" si="0"/>
        <v>-226247.86178861791</v>
      </c>
      <c r="E5" s="191">
        <f>Billing!E4</f>
        <v>1800000</v>
      </c>
      <c r="F5" s="35">
        <f t="shared" si="2"/>
        <v>406735.66666666651</v>
      </c>
      <c r="G5" s="11">
        <f t="shared" si="1"/>
        <v>0.22596425925925917</v>
      </c>
      <c r="H5" s="36">
        <v>55</v>
      </c>
      <c r="I5" s="48">
        <v>5000000</v>
      </c>
      <c r="J5" s="36">
        <v>550</v>
      </c>
      <c r="K5" s="51">
        <v>560</v>
      </c>
      <c r="L5" s="12">
        <f>K5-J5</f>
        <v>10</v>
      </c>
    </row>
    <row r="6" spans="1:12" x14ac:dyDescent="0.25">
      <c r="A6" s="16">
        <v>45777</v>
      </c>
      <c r="B6" s="36">
        <f>('Project Overview'!$D$7/DATEDIF('Project Overview'!$D$5, 'Project Overview'!$D$6, "M")) *80%</f>
        <v>1619512.1951219514</v>
      </c>
      <c r="C6" s="37">
        <f>OPEX!F12</f>
        <v>0</v>
      </c>
      <c r="D6" s="38">
        <f>IF(C6&gt;0,C6-B6,0)</f>
        <v>0</v>
      </c>
      <c r="E6" s="36"/>
      <c r="F6" s="35">
        <f t="shared" si="2"/>
        <v>0</v>
      </c>
      <c r="G6" s="11">
        <f>IF(E6&lt;&gt;0,F6 / E6,0)</f>
        <v>0</v>
      </c>
      <c r="H6" s="36"/>
      <c r="I6" s="48"/>
      <c r="J6" s="36"/>
      <c r="K6" s="51"/>
      <c r="L6" s="12">
        <f t="shared" ref="L6:L14" si="3">K6-J6</f>
        <v>0</v>
      </c>
    </row>
    <row r="7" spans="1:12" x14ac:dyDescent="0.25">
      <c r="A7" s="16">
        <v>45808</v>
      </c>
      <c r="B7" s="36">
        <f>('Project Overview'!$D$7/DATEDIF('Project Overview'!$D$5, 'Project Overview'!$D$6, "M")) *80%</f>
        <v>1619512.1951219514</v>
      </c>
      <c r="C7" s="37">
        <f>OPEX!G12</f>
        <v>0</v>
      </c>
      <c r="D7" s="38">
        <f t="shared" ref="D7:D14" si="4">IF(C7&gt;0,C7-B7,0)</f>
        <v>0</v>
      </c>
      <c r="E7" s="36"/>
      <c r="F7" s="35">
        <f t="shared" si="2"/>
        <v>0</v>
      </c>
      <c r="G7" s="11">
        <f t="shared" ref="G7:G14" si="5">IF(E7&lt;&gt;0,F7 / E7,0)</f>
        <v>0</v>
      </c>
      <c r="H7" s="36"/>
      <c r="I7" s="48"/>
      <c r="J7" s="36"/>
      <c r="K7" s="51"/>
      <c r="L7" s="12">
        <f t="shared" si="3"/>
        <v>0</v>
      </c>
    </row>
    <row r="8" spans="1:12" x14ac:dyDescent="0.25">
      <c r="A8" s="16">
        <v>45838</v>
      </c>
      <c r="B8" s="36">
        <f>('Project Overview'!$D$7/DATEDIF('Project Overview'!$D$5, 'Project Overview'!$D$6, "M")) *80%</f>
        <v>1619512.1951219514</v>
      </c>
      <c r="C8" s="37">
        <f>OPEX!H12</f>
        <v>0</v>
      </c>
      <c r="D8" s="38">
        <f t="shared" si="4"/>
        <v>0</v>
      </c>
      <c r="E8" s="36"/>
      <c r="F8" s="35">
        <f t="shared" si="2"/>
        <v>0</v>
      </c>
      <c r="G8" s="11">
        <f t="shared" si="5"/>
        <v>0</v>
      </c>
      <c r="H8" s="36"/>
      <c r="I8" s="48"/>
      <c r="J8" s="36"/>
      <c r="K8" s="51"/>
      <c r="L8" s="12">
        <f t="shared" si="3"/>
        <v>0</v>
      </c>
    </row>
    <row r="9" spans="1:12" x14ac:dyDescent="0.25">
      <c r="A9" s="16">
        <v>45869</v>
      </c>
      <c r="B9" s="36">
        <f>('Project Overview'!$D$7/DATEDIF('Project Overview'!$D$5, 'Project Overview'!$D$6, "M")) *80%</f>
        <v>1619512.1951219514</v>
      </c>
      <c r="C9" s="37">
        <f>OPEX!I12</f>
        <v>0</v>
      </c>
      <c r="D9" s="38">
        <f t="shared" si="4"/>
        <v>0</v>
      </c>
      <c r="E9" s="36"/>
      <c r="F9" s="35">
        <f t="shared" si="2"/>
        <v>0</v>
      </c>
      <c r="G9" s="11">
        <f t="shared" si="5"/>
        <v>0</v>
      </c>
      <c r="H9" s="36"/>
      <c r="I9" s="48"/>
      <c r="J9" s="36"/>
      <c r="K9" s="51"/>
      <c r="L9" s="12">
        <f t="shared" si="3"/>
        <v>0</v>
      </c>
    </row>
    <row r="10" spans="1:12" x14ac:dyDescent="0.25">
      <c r="A10" s="16">
        <v>45900</v>
      </c>
      <c r="B10" s="36">
        <f>('Project Overview'!$D$7/DATEDIF('Project Overview'!$D$5, 'Project Overview'!$D$6, "M")) *80%</f>
        <v>1619512.1951219514</v>
      </c>
      <c r="C10" s="37">
        <f>OPEX!J12</f>
        <v>0</v>
      </c>
      <c r="D10" s="38">
        <f t="shared" si="4"/>
        <v>0</v>
      </c>
      <c r="E10" s="36"/>
      <c r="F10" s="35">
        <f t="shared" si="2"/>
        <v>0</v>
      </c>
      <c r="G10" s="11">
        <f t="shared" si="5"/>
        <v>0</v>
      </c>
      <c r="H10" s="36"/>
      <c r="I10" s="48"/>
      <c r="J10" s="36"/>
      <c r="K10" s="51"/>
      <c r="L10" s="12">
        <f t="shared" si="3"/>
        <v>0</v>
      </c>
    </row>
    <row r="11" spans="1:12" x14ac:dyDescent="0.25">
      <c r="A11" s="16">
        <v>45930</v>
      </c>
      <c r="B11" s="36">
        <f>('Project Overview'!$D$7/DATEDIF('Project Overview'!$D$5, 'Project Overview'!$D$6, "M")) *80%</f>
        <v>1619512.1951219514</v>
      </c>
      <c r="C11" s="37">
        <f>OPEX!K12</f>
        <v>0</v>
      </c>
      <c r="D11" s="38">
        <f t="shared" si="4"/>
        <v>0</v>
      </c>
      <c r="E11" s="36"/>
      <c r="F11" s="35">
        <f t="shared" si="2"/>
        <v>0</v>
      </c>
      <c r="G11" s="11">
        <f t="shared" si="5"/>
        <v>0</v>
      </c>
      <c r="H11" s="36"/>
      <c r="I11" s="48"/>
      <c r="J11" s="36"/>
      <c r="K11" s="51"/>
      <c r="L11" s="12">
        <f t="shared" si="3"/>
        <v>0</v>
      </c>
    </row>
    <row r="12" spans="1:12" x14ac:dyDescent="0.25">
      <c r="A12" s="16">
        <v>45961</v>
      </c>
      <c r="B12" s="36">
        <f>('Project Overview'!$D$7/DATEDIF('Project Overview'!$D$5, 'Project Overview'!$D$6, "M")) *80%</f>
        <v>1619512.1951219514</v>
      </c>
      <c r="C12" s="37">
        <f>OPEX!L12</f>
        <v>0</v>
      </c>
      <c r="D12" s="38">
        <f t="shared" si="4"/>
        <v>0</v>
      </c>
      <c r="E12" s="36"/>
      <c r="F12" s="35">
        <f t="shared" si="2"/>
        <v>0</v>
      </c>
      <c r="G12" s="11">
        <f t="shared" si="5"/>
        <v>0</v>
      </c>
      <c r="H12" s="36"/>
      <c r="I12" s="48"/>
      <c r="J12" s="36"/>
      <c r="K12" s="51"/>
      <c r="L12" s="12">
        <f t="shared" si="3"/>
        <v>0</v>
      </c>
    </row>
    <row r="13" spans="1:12" x14ac:dyDescent="0.25">
      <c r="A13" s="16">
        <v>45991</v>
      </c>
      <c r="B13" s="36">
        <f>('Project Overview'!$D$7/DATEDIF('Project Overview'!$D$5, 'Project Overview'!$D$6, "M")) *80%</f>
        <v>1619512.1951219514</v>
      </c>
      <c r="C13" s="37">
        <f>OPEX!M12</f>
        <v>0</v>
      </c>
      <c r="D13" s="38">
        <f t="shared" si="4"/>
        <v>0</v>
      </c>
      <c r="E13" s="36"/>
      <c r="F13" s="35">
        <f t="shared" si="2"/>
        <v>0</v>
      </c>
      <c r="G13" s="11">
        <f t="shared" si="5"/>
        <v>0</v>
      </c>
      <c r="H13" s="36"/>
      <c r="I13" s="48"/>
      <c r="J13" s="36"/>
      <c r="K13" s="51"/>
      <c r="L13" s="12">
        <f t="shared" si="3"/>
        <v>0</v>
      </c>
    </row>
    <row r="14" spans="1:12" x14ac:dyDescent="0.25">
      <c r="A14" s="16">
        <v>46022</v>
      </c>
      <c r="B14" s="44">
        <f>('Project Overview'!$D$7/DATEDIF('Project Overview'!$D$5, 'Project Overview'!$D$6, "M")) *80%</f>
        <v>1619512.1951219514</v>
      </c>
      <c r="C14" s="40">
        <f>OPEX!N12</f>
        <v>0</v>
      </c>
      <c r="D14" s="41">
        <f t="shared" si="4"/>
        <v>0</v>
      </c>
      <c r="E14" s="44"/>
      <c r="F14" s="45">
        <f t="shared" si="2"/>
        <v>0</v>
      </c>
      <c r="G14" s="46">
        <f t="shared" si="5"/>
        <v>0</v>
      </c>
      <c r="H14" s="39"/>
      <c r="I14" s="49"/>
      <c r="J14" s="39"/>
      <c r="K14" s="52"/>
      <c r="L14" s="13">
        <f t="shared" si="3"/>
        <v>0</v>
      </c>
    </row>
    <row r="15" spans="1:12" x14ac:dyDescent="0.25">
      <c r="A15" s="53" t="s">
        <v>29</v>
      </c>
      <c r="B15" s="56">
        <f>SUMIF(C3:C14,"&gt;1",B3:B14)</f>
        <v>4858536.5853658542</v>
      </c>
      <c r="C15" s="54">
        <f>SUM(C3:C14)</f>
        <v>4000191.0000000005</v>
      </c>
      <c r="D15" s="55">
        <f>SUM(D3:D14)</f>
        <v>-858345.58536585374</v>
      </c>
      <c r="E15" s="56">
        <f>SUM(E3:E14)</f>
        <v>5280000</v>
      </c>
      <c r="F15" s="57">
        <f t="shared" si="2"/>
        <v>1279808.9999999995</v>
      </c>
      <c r="G15" s="58">
        <f t="shared" ref="G15" si="6">F15 / E15</f>
        <v>0.2423880681818181</v>
      </c>
      <c r="H15" s="59">
        <f>SUM(H3:H14)</f>
        <v>58</v>
      </c>
      <c r="I15" s="60">
        <f>SUM(I3:I14)</f>
        <v>7000000</v>
      </c>
      <c r="J15" s="59">
        <f>SUM(J3:J14)</f>
        <v>1650</v>
      </c>
      <c r="K15" s="61">
        <f>SUM(K3:K14)</f>
        <v>1650</v>
      </c>
      <c r="L15" s="62">
        <f>SUM(L3:L14)</f>
        <v>0</v>
      </c>
    </row>
    <row r="17" spans="1:2" x14ac:dyDescent="0.25">
      <c r="A17" s="192" t="s">
        <v>50</v>
      </c>
      <c r="B17" s="10" t="s">
        <v>51</v>
      </c>
    </row>
  </sheetData>
  <mergeCells count="5">
    <mergeCell ref="J1:L1"/>
    <mergeCell ref="B1:D1"/>
    <mergeCell ref="E1:G1"/>
    <mergeCell ref="A1:A2"/>
    <mergeCell ref="H1:I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A229-68A8-43C5-96FB-0221ED52AE33}">
  <sheetPr>
    <tabColor theme="5" tint="-0.249977111117893"/>
  </sheetPr>
  <dimension ref="A1:O12"/>
  <sheetViews>
    <sheetView workbookViewId="0">
      <selection activeCell="N9" sqref="N9"/>
    </sheetView>
  </sheetViews>
  <sheetFormatPr defaultRowHeight="27.6" customHeight="1" x14ac:dyDescent="0.25"/>
  <cols>
    <col min="1" max="1" width="4.5546875" style="10" bestFit="1" customWidth="1"/>
    <col min="2" max="2" width="23.33203125" style="10" customWidth="1"/>
    <col min="3" max="14" width="13" style="10" customWidth="1"/>
    <col min="15" max="15" width="12.77734375" style="10" bestFit="1" customWidth="1"/>
    <col min="16" max="16384" width="8.88671875" style="10"/>
  </cols>
  <sheetData>
    <row r="1" spans="1:15" ht="27.6" customHeight="1" x14ac:dyDescent="0.25">
      <c r="A1" s="21" t="s">
        <v>102</v>
      </c>
      <c r="B1" s="21" t="s">
        <v>24</v>
      </c>
      <c r="C1" s="33">
        <v>45688</v>
      </c>
      <c r="D1" s="33">
        <v>45716</v>
      </c>
      <c r="E1" s="33">
        <v>45747</v>
      </c>
      <c r="F1" s="33">
        <v>45777</v>
      </c>
      <c r="G1" s="33">
        <v>45808</v>
      </c>
      <c r="H1" s="33">
        <v>45838</v>
      </c>
      <c r="I1" s="33">
        <v>45869</v>
      </c>
      <c r="J1" s="33">
        <v>45900</v>
      </c>
      <c r="K1" s="33">
        <v>45930</v>
      </c>
      <c r="L1" s="33">
        <v>45961</v>
      </c>
      <c r="M1" s="33">
        <v>45991</v>
      </c>
      <c r="N1" s="33">
        <v>46022</v>
      </c>
      <c r="O1" s="21" t="s">
        <v>25</v>
      </c>
    </row>
    <row r="2" spans="1:15" ht="27.6" customHeight="1" x14ac:dyDescent="0.25">
      <c r="A2" s="19">
        <v>1</v>
      </c>
      <c r="B2" s="19" t="s">
        <v>136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7.6" customHeight="1" x14ac:dyDescent="0.25">
      <c r="A3" s="17">
        <v>1.1000000000000001</v>
      </c>
      <c r="B3" s="17" t="s">
        <v>137</v>
      </c>
      <c r="C3" s="25">
        <v>350000</v>
      </c>
      <c r="D3" s="25">
        <v>332190</v>
      </c>
      <c r="E3" s="25">
        <v>374553</v>
      </c>
      <c r="F3" s="25"/>
      <c r="G3" s="25"/>
      <c r="H3" s="25"/>
      <c r="I3" s="25"/>
      <c r="J3" s="25"/>
      <c r="K3" s="25"/>
      <c r="L3" s="25"/>
      <c r="M3" s="25"/>
      <c r="N3" s="25"/>
      <c r="O3" s="26">
        <f>SUM(C3:N3)</f>
        <v>1056743</v>
      </c>
    </row>
    <row r="4" spans="1:15" ht="27.6" customHeight="1" x14ac:dyDescent="0.25">
      <c r="A4" s="22">
        <v>1.2</v>
      </c>
      <c r="B4" s="22" t="s">
        <v>138</v>
      </c>
      <c r="C4" s="27">
        <v>80000</v>
      </c>
      <c r="D4" s="27">
        <v>58776</v>
      </c>
      <c r="E4" s="25">
        <v>37042</v>
      </c>
      <c r="F4" s="25"/>
      <c r="G4" s="25"/>
      <c r="H4" s="27"/>
      <c r="I4" s="27"/>
      <c r="J4" s="27"/>
      <c r="K4" s="27"/>
      <c r="L4" s="27"/>
      <c r="M4" s="27"/>
      <c r="N4" s="27"/>
      <c r="O4" s="28">
        <f t="shared" ref="O4:O12" si="0">SUM(C4:N4)</f>
        <v>175818</v>
      </c>
    </row>
    <row r="5" spans="1:15" ht="27.6" customHeight="1" x14ac:dyDescent="0.25">
      <c r="A5" s="31">
        <v>1.3</v>
      </c>
      <c r="B5" s="31" t="s">
        <v>26</v>
      </c>
      <c r="C5" s="32">
        <f>SUM(C3:C4)</f>
        <v>430000</v>
      </c>
      <c r="D5" s="32">
        <v>85273</v>
      </c>
      <c r="E5" s="32">
        <f t="shared" ref="E5:N5" si="1">SUM(E3:E4)</f>
        <v>411595</v>
      </c>
      <c r="F5" s="32">
        <f t="shared" si="1"/>
        <v>0</v>
      </c>
      <c r="G5" s="32">
        <f t="shared" si="1"/>
        <v>0</v>
      </c>
      <c r="H5" s="32">
        <f t="shared" si="1"/>
        <v>0</v>
      </c>
      <c r="I5" s="32">
        <f t="shared" si="1"/>
        <v>0</v>
      </c>
      <c r="J5" s="32">
        <f t="shared" si="1"/>
        <v>0</v>
      </c>
      <c r="K5" s="32">
        <f t="shared" si="1"/>
        <v>0</v>
      </c>
      <c r="L5" s="32">
        <f t="shared" si="1"/>
        <v>0</v>
      </c>
      <c r="M5" s="32">
        <f t="shared" si="1"/>
        <v>0</v>
      </c>
      <c r="N5" s="32">
        <f t="shared" si="1"/>
        <v>0</v>
      </c>
      <c r="O5" s="32">
        <f t="shared" si="0"/>
        <v>926868</v>
      </c>
    </row>
    <row r="6" spans="1:15" ht="27.6" customHeight="1" x14ac:dyDescent="0.25">
      <c r="A6" s="24">
        <v>2</v>
      </c>
      <c r="B6" s="24" t="s">
        <v>139</v>
      </c>
      <c r="C6" s="29">
        <v>100000</v>
      </c>
      <c r="D6" s="29">
        <v>85087</v>
      </c>
      <c r="E6" s="25">
        <v>74929</v>
      </c>
      <c r="F6" s="25"/>
      <c r="G6" s="25"/>
      <c r="H6" s="29"/>
      <c r="I6" s="29"/>
      <c r="J6" s="29"/>
      <c r="K6" s="29"/>
      <c r="L6" s="29"/>
      <c r="M6" s="29"/>
      <c r="N6" s="29"/>
      <c r="O6" s="30">
        <f t="shared" si="0"/>
        <v>260016</v>
      </c>
    </row>
    <row r="7" spans="1:15" ht="27.6" customHeight="1" x14ac:dyDescent="0.25">
      <c r="A7" s="18">
        <v>3</v>
      </c>
      <c r="B7" s="18" t="s">
        <v>140</v>
      </c>
      <c r="C7" s="25">
        <v>50000</v>
      </c>
      <c r="D7" s="25">
        <v>60000</v>
      </c>
      <c r="E7" s="25">
        <v>37907</v>
      </c>
      <c r="F7" s="25"/>
      <c r="G7" s="25"/>
      <c r="H7" s="25"/>
      <c r="I7" s="25"/>
      <c r="J7" s="25"/>
      <c r="K7" s="25"/>
      <c r="L7" s="25"/>
      <c r="M7" s="25"/>
      <c r="N7" s="25"/>
      <c r="O7" s="26">
        <f t="shared" si="0"/>
        <v>147907</v>
      </c>
    </row>
    <row r="8" spans="1:15" ht="27.6" customHeight="1" x14ac:dyDescent="0.25">
      <c r="A8" s="18">
        <v>4</v>
      </c>
      <c r="B8" s="18" t="s">
        <v>142</v>
      </c>
      <c r="C8" s="25">
        <f>'Subcontractor Monthly Billing'!K3+'Subcontractor Monthly Billing'!K4</f>
        <v>845033.33333333337</v>
      </c>
      <c r="D8" s="25">
        <f>SUM('Subcontractor Monthly Billing'!K5:K6)</f>
        <v>845533.33333333337</v>
      </c>
      <c r="E8" s="25">
        <f>SUM('Subcontractor Monthly Billing'!K7:K8)</f>
        <v>815833.33333333337</v>
      </c>
      <c r="F8" s="25">
        <f>SUM('Subcontractor Monthly Billing'!K9:K10)</f>
        <v>0</v>
      </c>
      <c r="G8" s="25">
        <f>SUM('Subcontractor Monthly Billing'!K11:K12)</f>
        <v>0</v>
      </c>
      <c r="H8" s="25">
        <f>SUM('Subcontractor Monthly Billing'!K13:K14)</f>
        <v>0</v>
      </c>
      <c r="I8" s="25">
        <f>SUM('Subcontractor Monthly Billing'!K15:K16)</f>
        <v>0</v>
      </c>
      <c r="J8" s="25">
        <f>SUM('Subcontractor Monthly Billing'!K17:K18)</f>
        <v>0</v>
      </c>
      <c r="K8" s="25">
        <f>SUM('Subcontractor Monthly Billing'!K19:K20)</f>
        <v>0</v>
      </c>
      <c r="L8" s="25">
        <f>SUM('Subcontractor Monthly Billing'!K21:K22)</f>
        <v>0</v>
      </c>
      <c r="M8" s="25">
        <f>SUM('Subcontractor Monthly Billing'!K23:K24)</f>
        <v>0</v>
      </c>
      <c r="N8" s="25">
        <f>SUM('Subcontractor Monthly Billing'!K25:K26)</f>
        <v>0</v>
      </c>
      <c r="O8" s="26">
        <f t="shared" si="0"/>
        <v>2506400</v>
      </c>
    </row>
    <row r="9" spans="1:15" ht="27.6" customHeight="1" x14ac:dyDescent="0.25">
      <c r="A9" s="18">
        <v>5</v>
      </c>
      <c r="B9" s="18" t="s">
        <v>143</v>
      </c>
      <c r="C9" s="25">
        <v>3000</v>
      </c>
      <c r="D9" s="25">
        <v>3000</v>
      </c>
      <c r="E9" s="25">
        <v>3000</v>
      </c>
      <c r="F9" s="25"/>
      <c r="G9" s="25"/>
      <c r="H9" s="25"/>
      <c r="I9" s="25"/>
      <c r="J9" s="25"/>
      <c r="K9" s="25"/>
      <c r="L9" s="25"/>
      <c r="M9" s="25"/>
      <c r="N9" s="25"/>
      <c r="O9" s="26">
        <f t="shared" si="0"/>
        <v>9000</v>
      </c>
    </row>
    <row r="10" spans="1:15" ht="27.6" customHeight="1" x14ac:dyDescent="0.25">
      <c r="A10" s="18">
        <v>6</v>
      </c>
      <c r="B10" s="18" t="s">
        <v>141</v>
      </c>
      <c r="C10" s="25">
        <v>50000</v>
      </c>
      <c r="D10" s="25">
        <v>50000</v>
      </c>
      <c r="E10" s="25">
        <v>50000</v>
      </c>
      <c r="F10" s="25"/>
      <c r="G10" s="25"/>
      <c r="H10" s="25"/>
      <c r="I10" s="25"/>
      <c r="J10" s="25"/>
      <c r="K10" s="25"/>
      <c r="L10" s="25"/>
      <c r="M10" s="25"/>
      <c r="N10" s="25"/>
      <c r="O10" s="26">
        <f t="shared" si="0"/>
        <v>150000</v>
      </c>
    </row>
    <row r="11" spans="1:15" ht="27.6" customHeight="1" x14ac:dyDescent="0.25">
      <c r="A11" s="23">
        <v>7</v>
      </c>
      <c r="B11" s="23" t="s">
        <v>144</v>
      </c>
      <c r="C11" s="27">
        <v>0</v>
      </c>
      <c r="D11" s="27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8">
        <f t="shared" si="0"/>
        <v>0</v>
      </c>
    </row>
    <row r="12" spans="1:15" ht="27.6" customHeight="1" x14ac:dyDescent="0.25">
      <c r="A12" s="31">
        <v>8</v>
      </c>
      <c r="B12" s="31" t="s">
        <v>27</v>
      </c>
      <c r="C12" s="32">
        <f>SUM(C5:C11)</f>
        <v>1478033.3333333335</v>
      </c>
      <c r="D12" s="32">
        <f t="shared" ref="D12:N12" si="2">SUM(D5:D11)</f>
        <v>1128893.3333333335</v>
      </c>
      <c r="E12" s="32">
        <f t="shared" si="2"/>
        <v>1393264.3333333335</v>
      </c>
      <c r="F12" s="32">
        <f t="shared" si="2"/>
        <v>0</v>
      </c>
      <c r="G12" s="32">
        <f t="shared" si="2"/>
        <v>0</v>
      </c>
      <c r="H12" s="32">
        <f t="shared" si="2"/>
        <v>0</v>
      </c>
      <c r="I12" s="32">
        <f t="shared" si="2"/>
        <v>0</v>
      </c>
      <c r="J12" s="32">
        <f t="shared" si="2"/>
        <v>0</v>
      </c>
      <c r="K12" s="32">
        <f t="shared" si="2"/>
        <v>0</v>
      </c>
      <c r="L12" s="32">
        <f t="shared" si="2"/>
        <v>0</v>
      </c>
      <c r="M12" s="32">
        <f t="shared" si="2"/>
        <v>0</v>
      </c>
      <c r="N12" s="32">
        <f t="shared" si="2"/>
        <v>0</v>
      </c>
      <c r="O12" s="32">
        <f t="shared" si="0"/>
        <v>4000191.0000000005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B7D0-55A2-43BA-909A-1CD8EBB30D19}">
  <sheetPr>
    <tabColor theme="5" tint="-0.249977111117893"/>
  </sheetPr>
  <dimension ref="A1:G14"/>
  <sheetViews>
    <sheetView workbookViewId="0">
      <selection activeCell="F27" sqref="F27"/>
    </sheetView>
  </sheetViews>
  <sheetFormatPr defaultColWidth="16.88671875" defaultRowHeight="13.8" x14ac:dyDescent="0.25"/>
  <cols>
    <col min="1" max="16384" width="16.88671875" style="10"/>
  </cols>
  <sheetData>
    <row r="1" spans="1:7" ht="31.2" x14ac:dyDescent="0.25">
      <c r="A1" s="204" t="s">
        <v>9</v>
      </c>
      <c r="B1" s="205" t="s">
        <v>31</v>
      </c>
      <c r="C1" s="206" t="s">
        <v>32</v>
      </c>
      <c r="D1" s="206" t="s">
        <v>36</v>
      </c>
      <c r="E1" s="206" t="s">
        <v>33</v>
      </c>
      <c r="F1" s="206" t="s">
        <v>34</v>
      </c>
      <c r="G1" s="207" t="s">
        <v>35</v>
      </c>
    </row>
    <row r="2" spans="1:7" x14ac:dyDescent="0.25">
      <c r="A2" s="201">
        <v>45688</v>
      </c>
      <c r="B2" s="202">
        <v>0.85</v>
      </c>
      <c r="C2" s="191">
        <f>'Project Overview'!$D$7/DATEDIF('Project Overview'!$D$5, 'Project Overview'!$D$6, "M")</f>
        <v>2024390.243902439</v>
      </c>
      <c r="D2" s="130" cm="1">
        <f t="array" ref="D2">IF(B2&lt;&gt;"",INDEX([1]KPIs!$C$2:$C$15,
       MATCH(TRUE,
             INDEX((B2 &gt;= [1]KPIs!$B$2:$B$15) * (B2 &lt; [1]KPIs!$A$2:$A$15) = 1, 0),
             0)),"")</f>
        <v>0.01</v>
      </c>
      <c r="E2" s="35">
        <f>IF(B2&lt;&gt;"",D2*C2,"")</f>
        <v>20243.90243902439</v>
      </c>
      <c r="F2" s="35">
        <v>5000</v>
      </c>
      <c r="G2" s="203">
        <f>IF(C2&lt;&gt;"",C2-E2-F2,0)</f>
        <v>1999146.3414634147</v>
      </c>
    </row>
    <row r="3" spans="1:7" x14ac:dyDescent="0.25">
      <c r="A3" s="201">
        <v>45716</v>
      </c>
      <c r="B3" s="71">
        <v>0.96</v>
      </c>
      <c r="C3" s="36">
        <v>1724390.243902439</v>
      </c>
      <c r="D3" s="130" cm="1">
        <f t="array" ref="D3">IF(B3&lt;&gt;"",INDEX([1]KPIs!$C$2:$C$15,
       MATCH(TRUE,
             INDEX((B3 &gt;= [1]KPIs!$B$2:$B$15) * (B3 &lt; [1]KPIs!$A$2:$A$15) = 1, 0),
             0)),"")</f>
        <v>0</v>
      </c>
      <c r="E3" s="35">
        <f t="shared" ref="E3:E13" si="0">IF(B3&lt;&gt;"",D3*C3,"")</f>
        <v>0</v>
      </c>
      <c r="F3" s="37">
        <v>10000</v>
      </c>
      <c r="G3" s="203">
        <f t="shared" ref="G3:G13" si="1">IF(C3&lt;&gt;"",C3-E3-F3,0)</f>
        <v>1714390.243902439</v>
      </c>
    </row>
    <row r="4" spans="1:7" x14ac:dyDescent="0.25">
      <c r="A4" s="201">
        <v>45747</v>
      </c>
      <c r="B4" s="71">
        <v>0.7</v>
      </c>
      <c r="C4" s="36">
        <v>1924390.243902439</v>
      </c>
      <c r="D4" s="130" cm="1">
        <f t="array" ref="D4">IF(B4&lt;&gt;"",INDEX([1]KPIs!$C$2:$C$15,
       MATCH(TRUE,
             INDEX((B4 &gt;= [1]KPIs!$B$2:$B$15) * (B4 &lt; [1]KPIs!$A$2:$A$15) = 1, 0),
             0)),"")</f>
        <v>0.04</v>
      </c>
      <c r="E4" s="35">
        <f t="shared" si="0"/>
        <v>76975.609756097561</v>
      </c>
      <c r="F4" s="37">
        <v>3000</v>
      </c>
      <c r="G4" s="203">
        <f t="shared" si="1"/>
        <v>1844414.6341463414</v>
      </c>
    </row>
    <row r="5" spans="1:7" x14ac:dyDescent="0.25">
      <c r="A5" s="201">
        <v>45777</v>
      </c>
      <c r="B5" s="73"/>
      <c r="C5" s="74"/>
      <c r="D5" s="130" t="str" cm="1">
        <f t="array" ref="D5">IF(B5&lt;&gt;"",INDEX([1]KPIs!$C$2:$C$15,
       MATCH(TRUE,
             INDEX((B5 &gt;= [1]KPIs!$B$2:$B$15) * (B5 &lt; [1]KPIs!$A$2:$A$15) = 1, 0),
             0)),"")</f>
        <v/>
      </c>
      <c r="E5" s="35" t="str">
        <f t="shared" si="0"/>
        <v/>
      </c>
      <c r="F5" s="74"/>
      <c r="G5" s="203">
        <f t="shared" si="1"/>
        <v>0</v>
      </c>
    </row>
    <row r="6" spans="1:7" x14ac:dyDescent="0.25">
      <c r="A6" s="201">
        <v>45808</v>
      </c>
      <c r="B6" s="73"/>
      <c r="C6" s="74"/>
      <c r="D6" s="130" t="str" cm="1">
        <f t="array" ref="D6">IF(B6&lt;&gt;"",INDEX([1]KPIs!$C$2:$C$15,
       MATCH(TRUE,
             INDEX((B6 &gt;= [1]KPIs!$B$2:$B$15) * (B6 &lt; [1]KPIs!$A$2:$A$15) = 1, 0),
             0)),"")</f>
        <v/>
      </c>
      <c r="E6" s="35" t="str">
        <f t="shared" si="0"/>
        <v/>
      </c>
      <c r="F6" s="74"/>
      <c r="G6" s="203">
        <f t="shared" si="1"/>
        <v>0</v>
      </c>
    </row>
    <row r="7" spans="1:7" x14ac:dyDescent="0.25">
      <c r="A7" s="201">
        <v>45838</v>
      </c>
      <c r="B7" s="73"/>
      <c r="C7" s="74"/>
      <c r="D7" s="130" t="str" cm="1">
        <f t="array" ref="D7">IF(B7&lt;&gt;"",INDEX([1]KPIs!$C$2:$C$15,
       MATCH(TRUE,
             INDEX((B7 &gt;= [1]KPIs!$B$2:$B$15) * (B7 &lt; [1]KPIs!$A$2:$A$15) = 1, 0),
             0)),"")</f>
        <v/>
      </c>
      <c r="E7" s="35" t="str">
        <f t="shared" si="0"/>
        <v/>
      </c>
      <c r="F7" s="74"/>
      <c r="G7" s="203">
        <f t="shared" si="1"/>
        <v>0</v>
      </c>
    </row>
    <row r="8" spans="1:7" x14ac:dyDescent="0.25">
      <c r="A8" s="201">
        <v>45869</v>
      </c>
      <c r="B8" s="73"/>
      <c r="C8" s="74"/>
      <c r="D8" s="130" t="str" cm="1">
        <f t="array" ref="D8">IF(B8&lt;&gt;"",INDEX([1]KPIs!$C$2:$C$15,
       MATCH(TRUE,
             INDEX((B8 &gt;= [1]KPIs!$B$2:$B$15) * (B8 &lt; [1]KPIs!$A$2:$A$15) = 1, 0),
             0)),"")</f>
        <v/>
      </c>
      <c r="E8" s="35" t="str">
        <f t="shared" si="0"/>
        <v/>
      </c>
      <c r="F8" s="74"/>
      <c r="G8" s="203">
        <f t="shared" si="1"/>
        <v>0</v>
      </c>
    </row>
    <row r="9" spans="1:7" x14ac:dyDescent="0.25">
      <c r="A9" s="201">
        <v>45900</v>
      </c>
      <c r="B9" s="73"/>
      <c r="C9" s="74"/>
      <c r="D9" s="130" t="str" cm="1">
        <f t="array" ref="D9">IF(B9&lt;&gt;"",INDEX([1]KPIs!$C$2:$C$15,
       MATCH(TRUE,
             INDEX((B9 &gt;= [1]KPIs!$B$2:$B$15) * (B9 &lt; [1]KPIs!$A$2:$A$15) = 1, 0),
             0)),"")</f>
        <v/>
      </c>
      <c r="E9" s="35" t="str">
        <f t="shared" si="0"/>
        <v/>
      </c>
      <c r="F9" s="74"/>
      <c r="G9" s="203">
        <f t="shared" si="1"/>
        <v>0</v>
      </c>
    </row>
    <row r="10" spans="1:7" x14ac:dyDescent="0.25">
      <c r="A10" s="201">
        <v>45930</v>
      </c>
      <c r="B10" s="73"/>
      <c r="C10" s="74"/>
      <c r="D10" s="130" t="str" cm="1">
        <f t="array" ref="D10">IF(B10&lt;&gt;"",INDEX([1]KPIs!$C$2:$C$15,
       MATCH(TRUE,
             INDEX((B10 &gt;= [1]KPIs!$B$2:$B$15) * (B10 &lt; [1]KPIs!$A$2:$A$15) = 1, 0),
             0)),"")</f>
        <v/>
      </c>
      <c r="E10" s="35" t="str">
        <f t="shared" si="0"/>
        <v/>
      </c>
      <c r="F10" s="74"/>
      <c r="G10" s="203">
        <f t="shared" si="1"/>
        <v>0</v>
      </c>
    </row>
    <row r="11" spans="1:7" x14ac:dyDescent="0.25">
      <c r="A11" s="201">
        <v>45961</v>
      </c>
      <c r="B11" s="73"/>
      <c r="C11" s="74"/>
      <c r="D11" s="130" t="str" cm="1">
        <f t="array" ref="D11">IF(B11&lt;&gt;"",INDEX([1]KPIs!$C$2:$C$15,
       MATCH(TRUE,
             INDEX((B11 &gt;= [1]KPIs!$B$2:$B$15) * (B11 &lt; [1]KPIs!$A$2:$A$15) = 1, 0),
             0)),"")</f>
        <v/>
      </c>
      <c r="E11" s="35" t="str">
        <f t="shared" si="0"/>
        <v/>
      </c>
      <c r="F11" s="74"/>
      <c r="G11" s="203">
        <f t="shared" si="1"/>
        <v>0</v>
      </c>
    </row>
    <row r="12" spans="1:7" x14ac:dyDescent="0.25">
      <c r="A12" s="201">
        <v>45991</v>
      </c>
      <c r="B12" s="73"/>
      <c r="C12" s="74"/>
      <c r="D12" s="130" t="str" cm="1">
        <f t="array" ref="D12">IF(B12&lt;&gt;"",INDEX([1]KPIs!$C$2:$C$15,
       MATCH(TRUE,
             INDEX((B12 &gt;= [1]KPIs!$B$2:$B$15) * (B12 &lt; [1]KPIs!$A$2:$A$15) = 1, 0),
             0)),"")</f>
        <v/>
      </c>
      <c r="E12" s="35" t="str">
        <f t="shared" si="0"/>
        <v/>
      </c>
      <c r="F12" s="74"/>
      <c r="G12" s="203">
        <f t="shared" si="1"/>
        <v>0</v>
      </c>
    </row>
    <row r="13" spans="1:7" x14ac:dyDescent="0.25">
      <c r="A13" s="201">
        <v>46022</v>
      </c>
      <c r="B13" s="75"/>
      <c r="C13" s="76"/>
      <c r="D13" s="130" t="str" cm="1">
        <f t="array" ref="D13">IF(B13&lt;&gt;"",INDEX([1]KPIs!$C$2:$C$15,
       MATCH(TRUE,
             INDEX((B13 &gt;= [1]KPIs!$B$2:$B$15) * (B13 &lt; [1]KPIs!$A$2:$A$15) = 1, 0),
             0)),"")</f>
        <v/>
      </c>
      <c r="E13" s="35" t="str">
        <f t="shared" si="0"/>
        <v/>
      </c>
      <c r="F13" s="76"/>
      <c r="G13" s="203">
        <f t="shared" si="1"/>
        <v>0</v>
      </c>
    </row>
    <row r="14" spans="1:7" ht="15.6" x14ac:dyDescent="0.3">
      <c r="A14" s="77" t="s">
        <v>37</v>
      </c>
      <c r="B14" s="78">
        <f>AVERAGE(B2:B13)</f>
        <v>0.83666666666666656</v>
      </c>
      <c r="C14" s="79">
        <f>SUM(C2:C13)</f>
        <v>5673170.7317073168</v>
      </c>
      <c r="D14" s="80"/>
      <c r="E14" s="79">
        <f t="shared" ref="E14:G14" si="2">SUM(E2:E13)</f>
        <v>97219.512195121948</v>
      </c>
      <c r="F14" s="79">
        <f t="shared" si="2"/>
        <v>18000</v>
      </c>
      <c r="G14" s="81">
        <f t="shared" si="2"/>
        <v>5557951.2195121953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A189-F911-4BAC-BAAC-95ED0AF9788A}">
  <sheetPr>
    <tabColor theme="5" tint="-0.249977111117893"/>
  </sheetPr>
  <dimension ref="A1:H14"/>
  <sheetViews>
    <sheetView workbookViewId="0">
      <selection activeCell="E24" sqref="E24"/>
    </sheetView>
  </sheetViews>
  <sheetFormatPr defaultRowHeight="13.8" x14ac:dyDescent="0.25"/>
  <cols>
    <col min="1" max="1" width="8.88671875" style="10"/>
    <col min="2" max="3" width="26.88671875" style="10" customWidth="1"/>
    <col min="4" max="6" width="19.109375" style="10" customWidth="1"/>
    <col min="7" max="7" width="8.88671875" style="10"/>
    <col min="8" max="8" width="44.6640625" style="10" customWidth="1"/>
    <col min="9" max="16384" width="8.88671875" style="10"/>
  </cols>
  <sheetData>
    <row r="1" spans="1:8" x14ac:dyDescent="0.25">
      <c r="A1" s="88" t="s">
        <v>9</v>
      </c>
      <c r="B1" s="89" t="s">
        <v>38</v>
      </c>
      <c r="C1" s="90" t="s">
        <v>41</v>
      </c>
      <c r="D1" s="90" t="s">
        <v>47</v>
      </c>
      <c r="E1" s="90" t="s">
        <v>48</v>
      </c>
      <c r="F1" s="90" t="s">
        <v>52</v>
      </c>
      <c r="G1" s="90" t="s">
        <v>39</v>
      </c>
      <c r="H1" s="91" t="s">
        <v>40</v>
      </c>
    </row>
    <row r="2" spans="1:8" x14ac:dyDescent="0.25">
      <c r="A2" s="92">
        <v>45688</v>
      </c>
      <c r="B2" s="93" t="s">
        <v>42</v>
      </c>
      <c r="C2" s="94">
        <v>45660</v>
      </c>
      <c r="D2" s="87">
        <f>'KPI-Penalties'!G2</f>
        <v>1999146.3414634147</v>
      </c>
      <c r="E2" s="87">
        <v>1850000</v>
      </c>
      <c r="F2" s="87">
        <f>D2-E2</f>
        <v>149146.34146341472</v>
      </c>
      <c r="G2" s="95" t="s">
        <v>45</v>
      </c>
      <c r="H2" s="96"/>
    </row>
    <row r="3" spans="1:8" x14ac:dyDescent="0.25">
      <c r="A3" s="92">
        <v>45716</v>
      </c>
      <c r="B3" s="97" t="s">
        <v>44</v>
      </c>
      <c r="C3" s="98">
        <v>45693</v>
      </c>
      <c r="D3" s="87">
        <f>'KPI-Penalties'!G3</f>
        <v>1714390.243902439</v>
      </c>
      <c r="E3" s="87">
        <v>1630000</v>
      </c>
      <c r="F3" s="87">
        <f t="shared" ref="F3:F13" si="0">D3-E3</f>
        <v>84390.243902439019</v>
      </c>
      <c r="G3" s="99" t="s">
        <v>46</v>
      </c>
      <c r="H3" s="100"/>
    </row>
    <row r="4" spans="1:8" x14ac:dyDescent="0.25">
      <c r="A4" s="92">
        <v>45747</v>
      </c>
      <c r="B4" s="97" t="s">
        <v>43</v>
      </c>
      <c r="C4" s="98"/>
      <c r="D4" s="87">
        <f>'KPI-Penalties'!G4</f>
        <v>1844414.6341463414</v>
      </c>
      <c r="E4" s="87">
        <v>1800000</v>
      </c>
      <c r="F4" s="87">
        <f t="shared" si="0"/>
        <v>44414.634146341356</v>
      </c>
      <c r="G4" s="99"/>
      <c r="H4" s="100"/>
    </row>
    <row r="5" spans="1:8" x14ac:dyDescent="0.25">
      <c r="A5" s="92">
        <v>45777</v>
      </c>
      <c r="B5" s="97"/>
      <c r="C5" s="98"/>
      <c r="D5" s="87">
        <f>'KPI-Penalties'!G5</f>
        <v>0</v>
      </c>
      <c r="E5" s="87"/>
      <c r="F5" s="87">
        <f t="shared" si="0"/>
        <v>0</v>
      </c>
      <c r="G5" s="99"/>
      <c r="H5" s="100"/>
    </row>
    <row r="6" spans="1:8" x14ac:dyDescent="0.25">
      <c r="A6" s="92">
        <v>45808</v>
      </c>
      <c r="B6" s="97"/>
      <c r="C6" s="98"/>
      <c r="D6" s="87">
        <f>'KPI-Penalties'!G6</f>
        <v>0</v>
      </c>
      <c r="E6" s="87"/>
      <c r="F6" s="87">
        <f t="shared" si="0"/>
        <v>0</v>
      </c>
      <c r="G6" s="99"/>
      <c r="H6" s="100"/>
    </row>
    <row r="7" spans="1:8" x14ac:dyDescent="0.25">
      <c r="A7" s="92">
        <v>45838</v>
      </c>
      <c r="B7" s="97"/>
      <c r="C7" s="98"/>
      <c r="D7" s="87">
        <f>'KPI-Penalties'!G7</f>
        <v>0</v>
      </c>
      <c r="E7" s="87"/>
      <c r="F7" s="87">
        <f t="shared" si="0"/>
        <v>0</v>
      </c>
      <c r="G7" s="99"/>
      <c r="H7" s="100"/>
    </row>
    <row r="8" spans="1:8" x14ac:dyDescent="0.25">
      <c r="A8" s="92">
        <v>45869</v>
      </c>
      <c r="B8" s="97"/>
      <c r="C8" s="98"/>
      <c r="D8" s="87">
        <f>'KPI-Penalties'!G8</f>
        <v>0</v>
      </c>
      <c r="E8" s="87"/>
      <c r="F8" s="87">
        <f t="shared" si="0"/>
        <v>0</v>
      </c>
      <c r="G8" s="99"/>
      <c r="H8" s="100"/>
    </row>
    <row r="9" spans="1:8" x14ac:dyDescent="0.25">
      <c r="A9" s="92">
        <v>45900</v>
      </c>
      <c r="B9" s="97"/>
      <c r="C9" s="98"/>
      <c r="D9" s="87">
        <f>'KPI-Penalties'!G9</f>
        <v>0</v>
      </c>
      <c r="E9" s="87"/>
      <c r="F9" s="87">
        <f t="shared" si="0"/>
        <v>0</v>
      </c>
      <c r="G9" s="99"/>
      <c r="H9" s="100"/>
    </row>
    <row r="10" spans="1:8" x14ac:dyDescent="0.25">
      <c r="A10" s="92">
        <v>45930</v>
      </c>
      <c r="B10" s="97"/>
      <c r="C10" s="98"/>
      <c r="D10" s="87">
        <f>'KPI-Penalties'!G10</f>
        <v>0</v>
      </c>
      <c r="E10" s="87"/>
      <c r="F10" s="87">
        <f t="shared" si="0"/>
        <v>0</v>
      </c>
      <c r="G10" s="99"/>
      <c r="H10" s="100"/>
    </row>
    <row r="11" spans="1:8" x14ac:dyDescent="0.25">
      <c r="A11" s="92">
        <v>45961</v>
      </c>
      <c r="B11" s="97"/>
      <c r="C11" s="98"/>
      <c r="D11" s="87">
        <f>'KPI-Penalties'!G11</f>
        <v>0</v>
      </c>
      <c r="E11" s="87"/>
      <c r="F11" s="87">
        <f t="shared" si="0"/>
        <v>0</v>
      </c>
      <c r="G11" s="99"/>
      <c r="H11" s="100"/>
    </row>
    <row r="12" spans="1:8" x14ac:dyDescent="0.25">
      <c r="A12" s="92">
        <v>45991</v>
      </c>
      <c r="B12" s="97"/>
      <c r="C12" s="98"/>
      <c r="D12" s="87">
        <f>'KPI-Penalties'!G12</f>
        <v>0</v>
      </c>
      <c r="E12" s="87"/>
      <c r="F12" s="87">
        <f t="shared" si="0"/>
        <v>0</v>
      </c>
      <c r="G12" s="99"/>
      <c r="H12" s="100"/>
    </row>
    <row r="13" spans="1:8" x14ac:dyDescent="0.25">
      <c r="A13" s="92">
        <v>46022</v>
      </c>
      <c r="B13" s="101"/>
      <c r="C13" s="102"/>
      <c r="D13" s="87">
        <f>'KPI-Penalties'!G13</f>
        <v>0</v>
      </c>
      <c r="E13" s="103"/>
      <c r="F13" s="87">
        <f t="shared" si="0"/>
        <v>0</v>
      </c>
      <c r="G13" s="104"/>
      <c r="H13" s="105"/>
    </row>
    <row r="14" spans="1:8" x14ac:dyDescent="0.25">
      <c r="A14" s="106" t="s">
        <v>29</v>
      </c>
      <c r="B14" s="107"/>
      <c r="C14" s="108"/>
      <c r="D14" s="109">
        <f t="shared" ref="D14:E14" si="1">SUM(D2:D13)</f>
        <v>5557951.2195121953</v>
      </c>
      <c r="E14" s="109">
        <f t="shared" si="1"/>
        <v>5280000</v>
      </c>
      <c r="F14" s="109">
        <f>SUM(F2:F13)</f>
        <v>277951.21951219509</v>
      </c>
      <c r="G14" s="108"/>
      <c r="H14" s="110"/>
    </row>
  </sheetData>
  <dataValidations count="3">
    <dataValidation type="list" allowBlank="1" showInputMessage="1" showErrorMessage="1" sqref="B2:B13" xr:uid="{946B31EA-21D1-42F2-9E86-FB29536FB45A}">
      <formula1>"Under preparation, Under Client Review, Submitted, Approved"</formula1>
    </dataValidation>
    <dataValidation type="list" allowBlank="1" showInputMessage="1" showErrorMessage="1" sqref="G2:G13" xr:uid="{7CFEE847-CFE1-4D0E-85BD-45FEE976DC26}">
      <formula1>"Yes, No"</formula1>
    </dataValidation>
    <dataValidation type="date" allowBlank="1" showInputMessage="1" showErrorMessage="1" sqref="C2:C13" xr:uid="{7274E8F6-78F3-4B82-B7FF-5135217A585E}">
      <formula1>44562</formula1>
      <formula2>47848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81B0-D8A8-407F-93DD-CF976631DDCE}">
  <sheetPr>
    <tabColor theme="4" tint="0.39997558519241921"/>
  </sheetPr>
  <dimension ref="A1:Q19"/>
  <sheetViews>
    <sheetView workbookViewId="0">
      <selection activeCell="G22" sqref="G22"/>
    </sheetView>
  </sheetViews>
  <sheetFormatPr defaultRowHeight="13.8" x14ac:dyDescent="0.25"/>
  <cols>
    <col min="1" max="1" width="4.109375" style="10" bestFit="1" customWidth="1"/>
    <col min="2" max="2" width="17.88671875" style="10" bestFit="1" customWidth="1"/>
    <col min="3" max="4" width="17.88671875" style="10" customWidth="1"/>
    <col min="5" max="16384" width="8.88671875" style="10"/>
  </cols>
  <sheetData>
    <row r="1" spans="1:17" x14ac:dyDescent="0.25">
      <c r="A1" s="252" t="s">
        <v>102</v>
      </c>
      <c r="B1" s="254" t="s">
        <v>121</v>
      </c>
      <c r="C1" s="258" t="s">
        <v>146</v>
      </c>
      <c r="D1" s="260" t="s">
        <v>150</v>
      </c>
      <c r="E1" s="256" t="s">
        <v>122</v>
      </c>
      <c r="F1" s="249" t="s">
        <v>123</v>
      </c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1"/>
    </row>
    <row r="2" spans="1:17" ht="14.4" customHeight="1" x14ac:dyDescent="0.25">
      <c r="A2" s="253"/>
      <c r="B2" s="255"/>
      <c r="C2" s="259"/>
      <c r="D2" s="261"/>
      <c r="E2" s="257"/>
      <c r="F2" s="179">
        <v>45688</v>
      </c>
      <c r="G2" s="179">
        <v>45716</v>
      </c>
      <c r="H2" s="179">
        <v>45747</v>
      </c>
      <c r="I2" s="179">
        <v>45777</v>
      </c>
      <c r="J2" s="179">
        <v>45808</v>
      </c>
      <c r="K2" s="179">
        <v>45838</v>
      </c>
      <c r="L2" s="179">
        <v>45869</v>
      </c>
      <c r="M2" s="179">
        <v>45900</v>
      </c>
      <c r="N2" s="179">
        <v>45930</v>
      </c>
      <c r="O2" s="179">
        <v>45961</v>
      </c>
      <c r="P2" s="179">
        <v>45991</v>
      </c>
      <c r="Q2" s="179">
        <v>46022</v>
      </c>
    </row>
    <row r="3" spans="1:17" x14ac:dyDescent="0.25">
      <c r="A3" s="180">
        <v>1</v>
      </c>
      <c r="B3" s="181" t="s">
        <v>124</v>
      </c>
      <c r="C3" s="193"/>
      <c r="D3" s="193">
        <v>1</v>
      </c>
      <c r="E3" s="182">
        <v>1</v>
      </c>
      <c r="F3" s="163">
        <v>1</v>
      </c>
      <c r="G3" s="95">
        <v>1</v>
      </c>
      <c r="H3" s="95">
        <v>1</v>
      </c>
      <c r="I3" s="95"/>
      <c r="J3" s="95"/>
      <c r="K3" s="95"/>
      <c r="L3" s="95"/>
      <c r="M3" s="95"/>
      <c r="N3" s="95"/>
      <c r="O3" s="95"/>
      <c r="P3" s="95"/>
      <c r="Q3" s="96"/>
    </row>
    <row r="4" spans="1:17" x14ac:dyDescent="0.25">
      <c r="A4" s="183">
        <v>2</v>
      </c>
      <c r="B4" s="184" t="s">
        <v>125</v>
      </c>
      <c r="C4" s="194" t="s">
        <v>124</v>
      </c>
      <c r="D4" s="194">
        <v>2</v>
      </c>
      <c r="E4" s="185">
        <v>1</v>
      </c>
      <c r="F4" s="164">
        <v>1</v>
      </c>
      <c r="G4" s="99">
        <v>1</v>
      </c>
      <c r="H4" s="99">
        <v>1</v>
      </c>
      <c r="I4" s="99"/>
      <c r="J4" s="99"/>
      <c r="K4" s="99"/>
      <c r="L4" s="99"/>
      <c r="M4" s="99"/>
      <c r="N4" s="99"/>
      <c r="O4" s="99"/>
      <c r="P4" s="99"/>
      <c r="Q4" s="100"/>
    </row>
    <row r="5" spans="1:17" x14ac:dyDescent="0.25">
      <c r="A5" s="183">
        <v>3</v>
      </c>
      <c r="B5" s="184" t="s">
        <v>126</v>
      </c>
      <c r="C5" s="194" t="s">
        <v>124</v>
      </c>
      <c r="D5" s="194">
        <v>2</v>
      </c>
      <c r="E5" s="185">
        <v>1</v>
      </c>
      <c r="F5" s="164">
        <v>1</v>
      </c>
      <c r="G5" s="99">
        <v>1</v>
      </c>
      <c r="H5" s="99">
        <v>1</v>
      </c>
      <c r="I5" s="99"/>
      <c r="J5" s="99"/>
      <c r="K5" s="99"/>
      <c r="L5" s="99"/>
      <c r="M5" s="99"/>
      <c r="N5" s="99"/>
      <c r="O5" s="99"/>
      <c r="P5" s="99"/>
      <c r="Q5" s="100"/>
    </row>
    <row r="6" spans="1:17" x14ac:dyDescent="0.25">
      <c r="A6" s="183">
        <v>4</v>
      </c>
      <c r="B6" s="184" t="s">
        <v>127</v>
      </c>
      <c r="C6" s="194" t="s">
        <v>124</v>
      </c>
      <c r="D6" s="194">
        <v>2</v>
      </c>
      <c r="E6" s="185">
        <v>1</v>
      </c>
      <c r="F6" s="164">
        <v>1</v>
      </c>
      <c r="G6" s="99">
        <v>0</v>
      </c>
      <c r="H6" s="99">
        <v>0</v>
      </c>
      <c r="I6" s="99"/>
      <c r="J6" s="99"/>
      <c r="K6" s="99"/>
      <c r="L6" s="99"/>
      <c r="M6" s="99"/>
      <c r="N6" s="99"/>
      <c r="O6" s="99"/>
      <c r="P6" s="99"/>
      <c r="Q6" s="100"/>
    </row>
    <row r="7" spans="1:17" x14ac:dyDescent="0.25">
      <c r="A7" s="183">
        <v>5</v>
      </c>
      <c r="B7" s="184" t="s">
        <v>128</v>
      </c>
      <c r="C7" s="194" t="s">
        <v>124</v>
      </c>
      <c r="D7" s="194">
        <v>2</v>
      </c>
      <c r="E7" s="185">
        <v>1</v>
      </c>
      <c r="F7" s="164">
        <v>1</v>
      </c>
      <c r="G7" s="99">
        <v>1</v>
      </c>
      <c r="H7" s="99">
        <v>1</v>
      </c>
      <c r="I7" s="99"/>
      <c r="J7" s="99"/>
      <c r="K7" s="99"/>
      <c r="L7" s="99"/>
      <c r="M7" s="99"/>
      <c r="N7" s="99"/>
      <c r="O7" s="99"/>
      <c r="P7" s="99"/>
      <c r="Q7" s="100"/>
    </row>
    <row r="8" spans="1:17" x14ac:dyDescent="0.25">
      <c r="A8" s="183">
        <v>6</v>
      </c>
      <c r="B8" s="184" t="s">
        <v>145</v>
      </c>
      <c r="C8" s="194" t="s">
        <v>126</v>
      </c>
      <c r="D8" s="194">
        <v>3</v>
      </c>
      <c r="E8" s="185">
        <v>4</v>
      </c>
      <c r="F8" s="164">
        <v>5</v>
      </c>
      <c r="G8" s="99">
        <v>4</v>
      </c>
      <c r="H8" s="99">
        <v>3</v>
      </c>
      <c r="I8" s="99"/>
      <c r="J8" s="99"/>
      <c r="K8" s="99"/>
      <c r="L8" s="99"/>
      <c r="M8" s="99"/>
      <c r="N8" s="99"/>
      <c r="O8" s="99"/>
      <c r="P8" s="99"/>
      <c r="Q8" s="100"/>
    </row>
    <row r="9" spans="1:17" x14ac:dyDescent="0.25">
      <c r="A9" s="183">
        <v>7</v>
      </c>
      <c r="B9" s="184" t="s">
        <v>147</v>
      </c>
      <c r="C9" s="194" t="s">
        <v>145</v>
      </c>
      <c r="D9" s="194">
        <v>4</v>
      </c>
      <c r="E9" s="185">
        <v>1</v>
      </c>
      <c r="F9" s="164">
        <v>1</v>
      </c>
      <c r="G9" s="99">
        <v>0</v>
      </c>
      <c r="H9" s="99">
        <v>0</v>
      </c>
      <c r="I9" s="99"/>
      <c r="J9" s="99"/>
      <c r="K9" s="99"/>
      <c r="L9" s="99"/>
      <c r="M9" s="99"/>
      <c r="N9" s="99"/>
      <c r="O9" s="99"/>
      <c r="P9" s="99"/>
      <c r="Q9" s="100"/>
    </row>
    <row r="10" spans="1:17" x14ac:dyDescent="0.25">
      <c r="A10" s="183">
        <v>8</v>
      </c>
      <c r="B10" s="184" t="s">
        <v>129</v>
      </c>
      <c r="C10" s="194" t="s">
        <v>145</v>
      </c>
      <c r="D10" s="194">
        <v>4</v>
      </c>
      <c r="E10" s="185">
        <v>10</v>
      </c>
      <c r="F10" s="164">
        <v>8</v>
      </c>
      <c r="G10" s="99">
        <v>9</v>
      </c>
      <c r="H10" s="99">
        <v>10</v>
      </c>
      <c r="I10" s="99"/>
      <c r="J10" s="99"/>
      <c r="K10" s="99"/>
      <c r="L10" s="99"/>
      <c r="M10" s="99"/>
      <c r="N10" s="99"/>
      <c r="O10" s="99"/>
      <c r="P10" s="99"/>
      <c r="Q10" s="100"/>
    </row>
    <row r="11" spans="1:17" x14ac:dyDescent="0.25">
      <c r="A11" s="183">
        <v>9</v>
      </c>
      <c r="B11" s="184" t="s">
        <v>130</v>
      </c>
      <c r="C11" s="194" t="s">
        <v>145</v>
      </c>
      <c r="D11" s="194">
        <v>4</v>
      </c>
      <c r="E11" s="185">
        <v>10</v>
      </c>
      <c r="F11" s="164">
        <v>10</v>
      </c>
      <c r="G11" s="99">
        <v>8</v>
      </c>
      <c r="H11" s="99">
        <v>9</v>
      </c>
      <c r="I11" s="99"/>
      <c r="J11" s="99"/>
      <c r="K11" s="99"/>
      <c r="L11" s="99"/>
      <c r="M11" s="99"/>
      <c r="N11" s="99"/>
      <c r="O11" s="99"/>
      <c r="P11" s="99"/>
      <c r="Q11" s="100"/>
    </row>
    <row r="12" spans="1:17" x14ac:dyDescent="0.25">
      <c r="A12" s="183">
        <v>10</v>
      </c>
      <c r="B12" s="184" t="s">
        <v>131</v>
      </c>
      <c r="C12" s="194" t="s">
        <v>145</v>
      </c>
      <c r="D12" s="194">
        <v>4</v>
      </c>
      <c r="E12" s="185">
        <v>10</v>
      </c>
      <c r="F12" s="164">
        <v>10</v>
      </c>
      <c r="G12" s="99">
        <v>10</v>
      </c>
      <c r="H12" s="99">
        <v>9</v>
      </c>
      <c r="I12" s="99"/>
      <c r="J12" s="99"/>
      <c r="K12" s="99"/>
      <c r="L12" s="99"/>
      <c r="M12" s="99"/>
      <c r="N12" s="99"/>
      <c r="O12" s="99"/>
      <c r="P12" s="99"/>
      <c r="Q12" s="100"/>
    </row>
    <row r="13" spans="1:17" x14ac:dyDescent="0.25">
      <c r="A13" s="183">
        <v>11</v>
      </c>
      <c r="B13" s="184" t="s">
        <v>132</v>
      </c>
      <c r="C13" s="194" t="s">
        <v>145</v>
      </c>
      <c r="D13" s="194">
        <v>5</v>
      </c>
      <c r="E13" s="185">
        <v>20</v>
      </c>
      <c r="F13" s="164">
        <v>20</v>
      </c>
      <c r="G13" s="99">
        <v>20</v>
      </c>
      <c r="H13" s="99">
        <v>20</v>
      </c>
      <c r="I13" s="99"/>
      <c r="J13" s="99"/>
      <c r="K13" s="99"/>
      <c r="L13" s="99"/>
      <c r="M13" s="99"/>
      <c r="N13" s="99"/>
      <c r="O13" s="99"/>
      <c r="P13" s="99"/>
      <c r="Q13" s="100"/>
    </row>
    <row r="14" spans="1:17" x14ac:dyDescent="0.25">
      <c r="A14" s="183">
        <v>12</v>
      </c>
      <c r="B14" s="184" t="s">
        <v>148</v>
      </c>
      <c r="C14" s="194" t="s">
        <v>124</v>
      </c>
      <c r="D14" s="194">
        <v>3</v>
      </c>
      <c r="E14" s="185">
        <v>2</v>
      </c>
      <c r="F14" s="164">
        <v>2</v>
      </c>
      <c r="G14" s="99">
        <v>2</v>
      </c>
      <c r="H14" s="99">
        <v>2</v>
      </c>
      <c r="I14" s="99"/>
      <c r="J14" s="99"/>
      <c r="K14" s="99"/>
      <c r="L14" s="99"/>
      <c r="M14" s="99"/>
      <c r="N14" s="99"/>
      <c r="O14" s="99"/>
      <c r="P14" s="99"/>
      <c r="Q14" s="100"/>
    </row>
    <row r="15" spans="1:17" x14ac:dyDescent="0.25">
      <c r="A15" s="183">
        <v>13</v>
      </c>
      <c r="B15" s="184" t="s">
        <v>133</v>
      </c>
      <c r="C15" s="194" t="s">
        <v>148</v>
      </c>
      <c r="D15" s="194">
        <v>4</v>
      </c>
      <c r="E15" s="185">
        <v>50</v>
      </c>
      <c r="F15" s="164">
        <v>46</v>
      </c>
      <c r="G15" s="99">
        <v>48</v>
      </c>
      <c r="H15" s="99">
        <v>50</v>
      </c>
      <c r="I15" s="99"/>
      <c r="J15" s="99"/>
      <c r="K15" s="99"/>
      <c r="L15" s="99"/>
      <c r="M15" s="99"/>
      <c r="N15" s="99"/>
      <c r="O15" s="99"/>
      <c r="P15" s="99"/>
      <c r="Q15" s="100"/>
    </row>
    <row r="16" spans="1:17" x14ac:dyDescent="0.25">
      <c r="A16" s="183">
        <v>14</v>
      </c>
      <c r="B16" s="197" t="s">
        <v>149</v>
      </c>
      <c r="C16" s="198" t="s">
        <v>124</v>
      </c>
      <c r="D16" s="198">
        <v>3</v>
      </c>
      <c r="E16" s="199">
        <v>4</v>
      </c>
      <c r="F16" s="200">
        <v>4</v>
      </c>
      <c r="G16" s="104">
        <v>5</v>
      </c>
      <c r="H16" s="104">
        <v>4</v>
      </c>
      <c r="I16" s="104"/>
      <c r="J16" s="104"/>
      <c r="K16" s="104"/>
      <c r="L16" s="104"/>
      <c r="M16" s="104"/>
      <c r="N16" s="104"/>
      <c r="O16" s="104"/>
      <c r="P16" s="104"/>
      <c r="Q16" s="105"/>
    </row>
    <row r="17" spans="1:17" x14ac:dyDescent="0.25">
      <c r="A17" s="183">
        <v>15</v>
      </c>
      <c r="B17" s="186" t="s">
        <v>134</v>
      </c>
      <c r="C17" s="195" t="s">
        <v>148</v>
      </c>
      <c r="D17" s="195">
        <v>4</v>
      </c>
      <c r="E17" s="187">
        <v>50</v>
      </c>
      <c r="F17" s="188">
        <v>47</v>
      </c>
      <c r="G17" s="114">
        <v>45</v>
      </c>
      <c r="H17" s="114">
        <v>50</v>
      </c>
      <c r="I17" s="114"/>
      <c r="J17" s="114"/>
      <c r="K17" s="114"/>
      <c r="L17" s="114"/>
      <c r="M17" s="114"/>
      <c r="N17" s="114"/>
      <c r="O17" s="114"/>
      <c r="P17" s="114"/>
      <c r="Q17" s="116"/>
    </row>
    <row r="18" spans="1:17" x14ac:dyDescent="0.25">
      <c r="A18" s="212"/>
      <c r="B18" s="213" t="s">
        <v>151</v>
      </c>
      <c r="C18" s="212" t="s">
        <v>149</v>
      </c>
      <c r="D18" s="212">
        <v>5</v>
      </c>
      <c r="E18" s="214">
        <v>0</v>
      </c>
      <c r="F18" s="10">
        <v>3</v>
      </c>
      <c r="G18" s="10">
        <v>3</v>
      </c>
      <c r="H18" s="10">
        <v>3</v>
      </c>
    </row>
    <row r="19" spans="1:17" x14ac:dyDescent="0.25">
      <c r="A19" s="189"/>
      <c r="B19" s="190" t="s">
        <v>37</v>
      </c>
      <c r="C19" s="196"/>
      <c r="D19" s="196"/>
      <c r="E19" s="189">
        <f>SUM(E3:E18)</f>
        <v>166</v>
      </c>
      <c r="F19" s="189">
        <f t="shared" ref="F19:Q19" si="0">SUM(F3:F17)</f>
        <v>158</v>
      </c>
      <c r="G19" s="189">
        <f t="shared" si="0"/>
        <v>155</v>
      </c>
      <c r="H19" s="189">
        <f t="shared" si="0"/>
        <v>161</v>
      </c>
      <c r="I19" s="189">
        <f t="shared" si="0"/>
        <v>0</v>
      </c>
      <c r="J19" s="189">
        <f t="shared" si="0"/>
        <v>0</v>
      </c>
      <c r="K19" s="189">
        <f t="shared" si="0"/>
        <v>0</v>
      </c>
      <c r="L19" s="189">
        <f t="shared" si="0"/>
        <v>0</v>
      </c>
      <c r="M19" s="189">
        <f t="shared" si="0"/>
        <v>0</v>
      </c>
      <c r="N19" s="189">
        <f t="shared" si="0"/>
        <v>0</v>
      </c>
      <c r="O19" s="189">
        <f t="shared" si="0"/>
        <v>0</v>
      </c>
      <c r="P19" s="189">
        <f t="shared" si="0"/>
        <v>0</v>
      </c>
      <c r="Q19" s="189">
        <f t="shared" si="0"/>
        <v>0</v>
      </c>
    </row>
  </sheetData>
  <mergeCells count="6">
    <mergeCell ref="F1:Q1"/>
    <mergeCell ref="A1:A2"/>
    <mergeCell ref="B1:B2"/>
    <mergeCell ref="E1:E2"/>
    <mergeCell ref="C1:C2"/>
    <mergeCell ref="D1:D2"/>
  </mergeCells>
  <dataValidations count="1">
    <dataValidation type="list" allowBlank="1" showInputMessage="1" showErrorMessage="1" sqref="C3:C18" xr:uid="{BE39FE47-42D9-4DF2-A646-E9D03D6BDD68}">
      <formula1>$B$3:$B$17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B557-AD4B-4F35-BB27-3E3D4F8421D2}">
  <sheetPr>
    <tabColor rgb="FF7030A0"/>
  </sheetPr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5" sqref="G25"/>
    </sheetView>
  </sheetViews>
  <sheetFormatPr defaultColWidth="17.88671875" defaultRowHeight="14.4" x14ac:dyDescent="0.3"/>
  <cols>
    <col min="7" max="7" width="35.44140625" customWidth="1"/>
  </cols>
  <sheetData>
    <row r="1" spans="1:7" x14ac:dyDescent="0.3">
      <c r="A1" s="262" t="s">
        <v>79</v>
      </c>
      <c r="B1" s="263"/>
      <c r="C1" s="263"/>
      <c r="D1" s="263"/>
      <c r="E1" s="263"/>
      <c r="F1" s="263"/>
      <c r="G1" s="264"/>
    </row>
    <row r="2" spans="1:7" x14ac:dyDescent="0.3">
      <c r="A2" s="138" t="s">
        <v>9</v>
      </c>
      <c r="B2" s="139" t="s">
        <v>65</v>
      </c>
      <c r="C2" s="139" t="s">
        <v>66</v>
      </c>
      <c r="D2" s="139" t="s">
        <v>67</v>
      </c>
      <c r="E2" s="139" t="s">
        <v>68</v>
      </c>
      <c r="F2" s="139" t="s">
        <v>69</v>
      </c>
      <c r="G2" s="140" t="s">
        <v>70</v>
      </c>
    </row>
    <row r="3" spans="1:7" x14ac:dyDescent="0.3">
      <c r="A3" s="265">
        <v>45658</v>
      </c>
      <c r="B3" s="123" t="s">
        <v>71</v>
      </c>
      <c r="C3" s="123" t="s">
        <v>72</v>
      </c>
      <c r="D3" s="141">
        <v>0.9</v>
      </c>
      <c r="E3" s="141">
        <v>0.88</v>
      </c>
      <c r="F3" s="123" t="str">
        <f>IF(E3,IF(E3&gt;=D3, "Met", "Not Met"),"")</f>
        <v>Not Met</v>
      </c>
      <c r="G3" s="126" t="s">
        <v>73</v>
      </c>
    </row>
    <row r="4" spans="1:7" x14ac:dyDescent="0.3">
      <c r="A4" s="266"/>
      <c r="B4" s="51" t="s">
        <v>74</v>
      </c>
      <c r="C4" s="51" t="s">
        <v>75</v>
      </c>
      <c r="D4" s="142">
        <v>0.99</v>
      </c>
      <c r="E4" s="143">
        <v>0.995</v>
      </c>
      <c r="F4" s="51" t="str">
        <f t="shared" ref="F4:F38" si="0">IF(E4,IF(E4&gt;=D4, "Met", "Not Met"),"")</f>
        <v>Met</v>
      </c>
      <c r="G4" s="12"/>
    </row>
    <row r="5" spans="1:7" x14ac:dyDescent="0.3">
      <c r="A5" s="267"/>
      <c r="B5" s="52" t="s">
        <v>76</v>
      </c>
      <c r="C5" s="52" t="s">
        <v>77</v>
      </c>
      <c r="D5" s="144">
        <v>1</v>
      </c>
      <c r="E5" s="144">
        <v>1</v>
      </c>
      <c r="F5" s="52" t="str">
        <f t="shared" si="0"/>
        <v>Met</v>
      </c>
      <c r="G5" s="13"/>
    </row>
    <row r="6" spans="1:7" x14ac:dyDescent="0.3">
      <c r="A6" s="265">
        <v>45689</v>
      </c>
      <c r="B6" s="123" t="s">
        <v>71</v>
      </c>
      <c r="C6" s="123" t="s">
        <v>72</v>
      </c>
      <c r="D6" s="141">
        <f>D3</f>
        <v>0.9</v>
      </c>
      <c r="E6" s="141">
        <v>0.91</v>
      </c>
      <c r="F6" s="123" t="str">
        <f t="shared" si="0"/>
        <v>Met</v>
      </c>
      <c r="G6" s="126" t="s">
        <v>78</v>
      </c>
    </row>
    <row r="7" spans="1:7" x14ac:dyDescent="0.3">
      <c r="A7" s="266"/>
      <c r="B7" s="51" t="s">
        <v>74</v>
      </c>
      <c r="C7" s="51" t="s">
        <v>75</v>
      </c>
      <c r="D7" s="142">
        <f>D4</f>
        <v>0.99</v>
      </c>
      <c r="E7" s="143">
        <v>0.95</v>
      </c>
      <c r="F7" s="51" t="str">
        <f t="shared" si="0"/>
        <v>Not Met</v>
      </c>
      <c r="G7" s="12"/>
    </row>
    <row r="8" spans="1:7" x14ac:dyDescent="0.3">
      <c r="A8" s="267"/>
      <c r="B8" s="52" t="s">
        <v>76</v>
      </c>
      <c r="C8" s="52" t="s">
        <v>77</v>
      </c>
      <c r="D8" s="144">
        <f>D5</f>
        <v>1</v>
      </c>
      <c r="E8" s="144">
        <v>0.93</v>
      </c>
      <c r="F8" s="52" t="str">
        <f t="shared" si="0"/>
        <v>Not Met</v>
      </c>
      <c r="G8" s="13"/>
    </row>
    <row r="9" spans="1:7" x14ac:dyDescent="0.3">
      <c r="A9" s="265">
        <v>45717</v>
      </c>
      <c r="B9" s="123" t="s">
        <v>71</v>
      </c>
      <c r="C9" s="123" t="s">
        <v>72</v>
      </c>
      <c r="D9" s="141">
        <f t="shared" ref="D9:D38" si="1">D6</f>
        <v>0.9</v>
      </c>
      <c r="E9" s="141"/>
      <c r="F9" s="123" t="str">
        <f t="shared" si="0"/>
        <v/>
      </c>
      <c r="G9" s="126"/>
    </row>
    <row r="10" spans="1:7" x14ac:dyDescent="0.3">
      <c r="A10" s="266"/>
      <c r="B10" s="51" t="s">
        <v>74</v>
      </c>
      <c r="C10" s="51" t="s">
        <v>75</v>
      </c>
      <c r="D10" s="142">
        <f t="shared" si="1"/>
        <v>0.99</v>
      </c>
      <c r="E10" s="143"/>
      <c r="F10" s="51" t="str">
        <f t="shared" si="0"/>
        <v/>
      </c>
      <c r="G10" s="12"/>
    </row>
    <row r="11" spans="1:7" x14ac:dyDescent="0.3">
      <c r="A11" s="267"/>
      <c r="B11" s="52" t="s">
        <v>76</v>
      </c>
      <c r="C11" s="52" t="s">
        <v>77</v>
      </c>
      <c r="D11" s="144">
        <f t="shared" si="1"/>
        <v>1</v>
      </c>
      <c r="E11" s="144"/>
      <c r="F11" s="52" t="str">
        <f t="shared" si="0"/>
        <v/>
      </c>
      <c r="G11" s="13"/>
    </row>
    <row r="12" spans="1:7" x14ac:dyDescent="0.3">
      <c r="A12" s="265">
        <v>45748</v>
      </c>
      <c r="B12" s="123" t="s">
        <v>71</v>
      </c>
      <c r="C12" s="123" t="s">
        <v>72</v>
      </c>
      <c r="D12" s="141">
        <f t="shared" si="1"/>
        <v>0.9</v>
      </c>
      <c r="E12" s="141"/>
      <c r="F12" s="123" t="str">
        <f t="shared" si="0"/>
        <v/>
      </c>
      <c r="G12" s="126"/>
    </row>
    <row r="13" spans="1:7" x14ac:dyDescent="0.3">
      <c r="A13" s="266"/>
      <c r="B13" s="51" t="s">
        <v>74</v>
      </c>
      <c r="C13" s="51" t="s">
        <v>75</v>
      </c>
      <c r="D13" s="142">
        <f t="shared" si="1"/>
        <v>0.99</v>
      </c>
      <c r="E13" s="143"/>
      <c r="F13" s="51" t="str">
        <f t="shared" si="0"/>
        <v/>
      </c>
      <c r="G13" s="12"/>
    </row>
    <row r="14" spans="1:7" x14ac:dyDescent="0.3">
      <c r="A14" s="267"/>
      <c r="B14" s="52" t="s">
        <v>76</v>
      </c>
      <c r="C14" s="52" t="s">
        <v>77</v>
      </c>
      <c r="D14" s="144">
        <f t="shared" si="1"/>
        <v>1</v>
      </c>
      <c r="E14" s="144"/>
      <c r="F14" s="52" t="str">
        <f t="shared" si="0"/>
        <v/>
      </c>
      <c r="G14" s="13"/>
    </row>
    <row r="15" spans="1:7" x14ac:dyDescent="0.3">
      <c r="A15" s="265">
        <v>45778</v>
      </c>
      <c r="B15" s="123" t="s">
        <v>71</v>
      </c>
      <c r="C15" s="123" t="s">
        <v>72</v>
      </c>
      <c r="D15" s="141">
        <f t="shared" si="1"/>
        <v>0.9</v>
      </c>
      <c r="E15" s="141"/>
      <c r="F15" s="123" t="str">
        <f t="shared" si="0"/>
        <v/>
      </c>
      <c r="G15" s="126"/>
    </row>
    <row r="16" spans="1:7" x14ac:dyDescent="0.3">
      <c r="A16" s="266"/>
      <c r="B16" s="51" t="s">
        <v>74</v>
      </c>
      <c r="C16" s="51" t="s">
        <v>75</v>
      </c>
      <c r="D16" s="142">
        <f t="shared" si="1"/>
        <v>0.99</v>
      </c>
      <c r="E16" s="143"/>
      <c r="F16" s="51" t="str">
        <f t="shared" si="0"/>
        <v/>
      </c>
      <c r="G16" s="12"/>
    </row>
    <row r="17" spans="1:7" x14ac:dyDescent="0.3">
      <c r="A17" s="267"/>
      <c r="B17" s="52" t="s">
        <v>76</v>
      </c>
      <c r="C17" s="52" t="s">
        <v>77</v>
      </c>
      <c r="D17" s="144">
        <f t="shared" si="1"/>
        <v>1</v>
      </c>
      <c r="E17" s="144"/>
      <c r="F17" s="52" t="str">
        <f t="shared" si="0"/>
        <v/>
      </c>
      <c r="G17" s="13"/>
    </row>
    <row r="18" spans="1:7" x14ac:dyDescent="0.3">
      <c r="A18" s="265">
        <v>45809</v>
      </c>
      <c r="B18" s="123" t="s">
        <v>71</v>
      </c>
      <c r="C18" s="123" t="s">
        <v>72</v>
      </c>
      <c r="D18" s="141">
        <f t="shared" si="1"/>
        <v>0.9</v>
      </c>
      <c r="E18" s="141"/>
      <c r="F18" s="123" t="str">
        <f t="shared" si="0"/>
        <v/>
      </c>
      <c r="G18" s="126"/>
    </row>
    <row r="19" spans="1:7" x14ac:dyDescent="0.3">
      <c r="A19" s="266"/>
      <c r="B19" s="51" t="s">
        <v>74</v>
      </c>
      <c r="C19" s="51" t="s">
        <v>75</v>
      </c>
      <c r="D19" s="142">
        <f t="shared" si="1"/>
        <v>0.99</v>
      </c>
      <c r="E19" s="143"/>
      <c r="F19" s="51" t="str">
        <f t="shared" si="0"/>
        <v/>
      </c>
      <c r="G19" s="12"/>
    </row>
    <row r="20" spans="1:7" x14ac:dyDescent="0.3">
      <c r="A20" s="267"/>
      <c r="B20" s="52" t="s">
        <v>76</v>
      </c>
      <c r="C20" s="52" t="s">
        <v>77</v>
      </c>
      <c r="D20" s="144">
        <f t="shared" si="1"/>
        <v>1</v>
      </c>
      <c r="E20" s="144"/>
      <c r="F20" s="52" t="str">
        <f t="shared" si="0"/>
        <v/>
      </c>
      <c r="G20" s="13"/>
    </row>
    <row r="21" spans="1:7" x14ac:dyDescent="0.3">
      <c r="A21" s="265">
        <v>45839</v>
      </c>
      <c r="B21" s="123" t="s">
        <v>71</v>
      </c>
      <c r="C21" s="123" t="s">
        <v>72</v>
      </c>
      <c r="D21" s="141">
        <f t="shared" si="1"/>
        <v>0.9</v>
      </c>
      <c r="E21" s="141"/>
      <c r="F21" s="123" t="str">
        <f t="shared" si="0"/>
        <v/>
      </c>
      <c r="G21" s="126"/>
    </row>
    <row r="22" spans="1:7" x14ac:dyDescent="0.3">
      <c r="A22" s="266"/>
      <c r="B22" s="51" t="s">
        <v>74</v>
      </c>
      <c r="C22" s="51" t="s">
        <v>75</v>
      </c>
      <c r="D22" s="142">
        <f t="shared" si="1"/>
        <v>0.99</v>
      </c>
      <c r="E22" s="143"/>
      <c r="F22" s="51" t="str">
        <f t="shared" si="0"/>
        <v/>
      </c>
      <c r="G22" s="12"/>
    </row>
    <row r="23" spans="1:7" x14ac:dyDescent="0.3">
      <c r="A23" s="267"/>
      <c r="B23" s="52" t="s">
        <v>76</v>
      </c>
      <c r="C23" s="52" t="s">
        <v>77</v>
      </c>
      <c r="D23" s="144">
        <f t="shared" si="1"/>
        <v>1</v>
      </c>
      <c r="E23" s="144"/>
      <c r="F23" s="52" t="str">
        <f t="shared" si="0"/>
        <v/>
      </c>
      <c r="G23" s="13"/>
    </row>
    <row r="24" spans="1:7" x14ac:dyDescent="0.3">
      <c r="A24" s="265">
        <v>45870</v>
      </c>
      <c r="B24" s="123" t="s">
        <v>71</v>
      </c>
      <c r="C24" s="123" t="s">
        <v>72</v>
      </c>
      <c r="D24" s="141">
        <f t="shared" si="1"/>
        <v>0.9</v>
      </c>
      <c r="E24" s="141"/>
      <c r="F24" s="123" t="str">
        <f t="shared" si="0"/>
        <v/>
      </c>
      <c r="G24" s="126"/>
    </row>
    <row r="25" spans="1:7" x14ac:dyDescent="0.3">
      <c r="A25" s="266"/>
      <c r="B25" s="51" t="s">
        <v>74</v>
      </c>
      <c r="C25" s="51" t="s">
        <v>75</v>
      </c>
      <c r="D25" s="142">
        <f t="shared" si="1"/>
        <v>0.99</v>
      </c>
      <c r="E25" s="143"/>
      <c r="F25" s="51" t="str">
        <f t="shared" si="0"/>
        <v/>
      </c>
      <c r="G25" s="12"/>
    </row>
    <row r="26" spans="1:7" x14ac:dyDescent="0.3">
      <c r="A26" s="267"/>
      <c r="B26" s="52" t="s">
        <v>76</v>
      </c>
      <c r="C26" s="52" t="s">
        <v>77</v>
      </c>
      <c r="D26" s="144">
        <f t="shared" si="1"/>
        <v>1</v>
      </c>
      <c r="E26" s="144"/>
      <c r="F26" s="52" t="str">
        <f t="shared" si="0"/>
        <v/>
      </c>
      <c r="G26" s="13"/>
    </row>
    <row r="27" spans="1:7" x14ac:dyDescent="0.3">
      <c r="A27" s="265">
        <v>45901</v>
      </c>
      <c r="B27" s="123" t="s">
        <v>71</v>
      </c>
      <c r="C27" s="123" t="s">
        <v>72</v>
      </c>
      <c r="D27" s="141">
        <f t="shared" si="1"/>
        <v>0.9</v>
      </c>
      <c r="E27" s="141"/>
      <c r="F27" s="123" t="str">
        <f t="shared" si="0"/>
        <v/>
      </c>
      <c r="G27" s="126"/>
    </row>
    <row r="28" spans="1:7" x14ac:dyDescent="0.3">
      <c r="A28" s="266"/>
      <c r="B28" s="51" t="s">
        <v>74</v>
      </c>
      <c r="C28" s="51" t="s">
        <v>75</v>
      </c>
      <c r="D28" s="142">
        <f t="shared" si="1"/>
        <v>0.99</v>
      </c>
      <c r="E28" s="143"/>
      <c r="F28" s="51" t="str">
        <f t="shared" si="0"/>
        <v/>
      </c>
      <c r="G28" s="12"/>
    </row>
    <row r="29" spans="1:7" x14ac:dyDescent="0.3">
      <c r="A29" s="267"/>
      <c r="B29" s="52" t="s">
        <v>76</v>
      </c>
      <c r="C29" s="52" t="s">
        <v>77</v>
      </c>
      <c r="D29" s="144">
        <f t="shared" si="1"/>
        <v>1</v>
      </c>
      <c r="E29" s="144"/>
      <c r="F29" s="52" t="str">
        <f t="shared" si="0"/>
        <v/>
      </c>
      <c r="G29" s="13"/>
    </row>
    <row r="30" spans="1:7" x14ac:dyDescent="0.3">
      <c r="A30" s="265">
        <v>45931</v>
      </c>
      <c r="B30" s="123" t="s">
        <v>71</v>
      </c>
      <c r="C30" s="123" t="s">
        <v>72</v>
      </c>
      <c r="D30" s="141">
        <f t="shared" si="1"/>
        <v>0.9</v>
      </c>
      <c r="E30" s="141"/>
      <c r="F30" s="123" t="str">
        <f t="shared" si="0"/>
        <v/>
      </c>
      <c r="G30" s="126"/>
    </row>
    <row r="31" spans="1:7" x14ac:dyDescent="0.3">
      <c r="A31" s="266"/>
      <c r="B31" s="51" t="s">
        <v>74</v>
      </c>
      <c r="C31" s="51" t="s">
        <v>75</v>
      </c>
      <c r="D31" s="142">
        <f t="shared" si="1"/>
        <v>0.99</v>
      </c>
      <c r="E31" s="143"/>
      <c r="F31" s="51" t="str">
        <f t="shared" si="0"/>
        <v/>
      </c>
      <c r="G31" s="12"/>
    </row>
    <row r="32" spans="1:7" x14ac:dyDescent="0.3">
      <c r="A32" s="267"/>
      <c r="B32" s="52" t="s">
        <v>76</v>
      </c>
      <c r="C32" s="52" t="s">
        <v>77</v>
      </c>
      <c r="D32" s="144">
        <f t="shared" si="1"/>
        <v>1</v>
      </c>
      <c r="E32" s="144"/>
      <c r="F32" s="52" t="str">
        <f t="shared" si="0"/>
        <v/>
      </c>
      <c r="G32" s="13"/>
    </row>
    <row r="33" spans="1:7" x14ac:dyDescent="0.3">
      <c r="A33" s="265">
        <v>45962</v>
      </c>
      <c r="B33" s="123" t="s">
        <v>71</v>
      </c>
      <c r="C33" s="123" t="s">
        <v>72</v>
      </c>
      <c r="D33" s="141">
        <f t="shared" si="1"/>
        <v>0.9</v>
      </c>
      <c r="E33" s="141"/>
      <c r="F33" s="123" t="str">
        <f t="shared" si="0"/>
        <v/>
      </c>
      <c r="G33" s="126"/>
    </row>
    <row r="34" spans="1:7" x14ac:dyDescent="0.3">
      <c r="A34" s="266"/>
      <c r="B34" s="51" t="s">
        <v>74</v>
      </c>
      <c r="C34" s="51" t="s">
        <v>75</v>
      </c>
      <c r="D34" s="142">
        <f t="shared" si="1"/>
        <v>0.99</v>
      </c>
      <c r="E34" s="143"/>
      <c r="F34" s="51" t="str">
        <f t="shared" si="0"/>
        <v/>
      </c>
      <c r="G34" s="12"/>
    </row>
    <row r="35" spans="1:7" x14ac:dyDescent="0.3">
      <c r="A35" s="267"/>
      <c r="B35" s="52" t="s">
        <v>76</v>
      </c>
      <c r="C35" s="52" t="s">
        <v>77</v>
      </c>
      <c r="D35" s="144">
        <f t="shared" si="1"/>
        <v>1</v>
      </c>
      <c r="E35" s="144"/>
      <c r="F35" s="52" t="str">
        <f t="shared" si="0"/>
        <v/>
      </c>
      <c r="G35" s="13"/>
    </row>
    <row r="36" spans="1:7" x14ac:dyDescent="0.3">
      <c r="A36" s="265">
        <v>45992</v>
      </c>
      <c r="B36" s="123" t="s">
        <v>71</v>
      </c>
      <c r="C36" s="123" t="s">
        <v>72</v>
      </c>
      <c r="D36" s="141">
        <f t="shared" si="1"/>
        <v>0.9</v>
      </c>
      <c r="E36" s="141"/>
      <c r="F36" s="123" t="str">
        <f t="shared" si="0"/>
        <v/>
      </c>
      <c r="G36" s="126"/>
    </row>
    <row r="37" spans="1:7" x14ac:dyDescent="0.3">
      <c r="A37" s="266"/>
      <c r="B37" s="51" t="s">
        <v>74</v>
      </c>
      <c r="C37" s="51" t="s">
        <v>75</v>
      </c>
      <c r="D37" s="142">
        <f t="shared" si="1"/>
        <v>0.99</v>
      </c>
      <c r="E37" s="143"/>
      <c r="F37" s="51" t="str">
        <f t="shared" si="0"/>
        <v/>
      </c>
      <c r="G37" s="12"/>
    </row>
    <row r="38" spans="1:7" x14ac:dyDescent="0.3">
      <c r="A38" s="267"/>
      <c r="B38" s="52" t="s">
        <v>76</v>
      </c>
      <c r="C38" s="52" t="s">
        <v>77</v>
      </c>
      <c r="D38" s="144">
        <f t="shared" si="1"/>
        <v>1</v>
      </c>
      <c r="E38" s="144"/>
      <c r="F38" s="52" t="str">
        <f t="shared" si="0"/>
        <v/>
      </c>
      <c r="G38" s="13"/>
    </row>
  </sheetData>
  <mergeCells count="13">
    <mergeCell ref="A33:A35"/>
    <mergeCell ref="A36:A38"/>
    <mergeCell ref="A3:A5"/>
    <mergeCell ref="A6:A8"/>
    <mergeCell ref="A9:A11"/>
    <mergeCell ref="A12:A14"/>
    <mergeCell ref="A15:A17"/>
    <mergeCell ref="A18:A20"/>
    <mergeCell ref="A1:G1"/>
    <mergeCell ref="A21:A23"/>
    <mergeCell ref="A24:A26"/>
    <mergeCell ref="A27:A29"/>
    <mergeCell ref="A30:A32"/>
  </mergeCells>
  <phoneticPr fontId="8" type="noConversion"/>
  <conditionalFormatting sqref="E3:E38">
    <cfRule type="expression" dxfId="9" priority="1">
      <formula>IF($F3="Not Met",TRUE, FALSE)</formula>
    </cfRule>
    <cfRule type="expression" dxfId="8" priority="2">
      <formula>IF($F3="Met", TRUE,FALSE)</formula>
    </cfRule>
  </conditionalFormatting>
  <conditionalFormatting sqref="F3:F38">
    <cfRule type="cellIs" dxfId="7" priority="3" operator="equal">
      <formula>"Met"</formula>
    </cfRule>
    <cfRule type="cellIs" dxfId="6" priority="4" operator="equal">
      <formula>"Not Met"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38D1-9B67-480F-BC4F-1A3F2ECFC193}">
  <sheetPr>
    <tabColor rgb="FF92D050"/>
  </sheetPr>
  <dimension ref="A1:G14"/>
  <sheetViews>
    <sheetView workbookViewId="0">
      <selection activeCell="B6" sqref="B6:C6"/>
    </sheetView>
  </sheetViews>
  <sheetFormatPr defaultColWidth="13.33203125" defaultRowHeight="13.8" x14ac:dyDescent="0.25"/>
  <cols>
    <col min="1" max="3" width="13.33203125" style="10"/>
    <col min="4" max="4" width="13.33203125" style="112"/>
    <col min="5" max="5" width="13.88671875" style="10" bestFit="1" customWidth="1"/>
    <col min="6" max="6" width="25.77734375" style="10" customWidth="1"/>
    <col min="7" max="7" width="52.88671875" style="10" customWidth="1"/>
    <col min="8" max="16384" width="13.33203125" style="10"/>
  </cols>
  <sheetData>
    <row r="1" spans="1:7" ht="18" x14ac:dyDescent="0.35">
      <c r="A1" s="268" t="s">
        <v>153</v>
      </c>
      <c r="B1" s="269"/>
      <c r="C1" s="269"/>
      <c r="D1" s="269"/>
      <c r="E1" s="269"/>
      <c r="F1" s="270"/>
      <c r="G1" s="271"/>
    </row>
    <row r="2" spans="1:7" ht="27.6" x14ac:dyDescent="0.25">
      <c r="A2" s="145" t="s">
        <v>9</v>
      </c>
      <c r="B2" s="146" t="s">
        <v>53</v>
      </c>
      <c r="C2" s="146" t="s">
        <v>152</v>
      </c>
      <c r="D2" s="147" t="s">
        <v>54</v>
      </c>
      <c r="E2" s="146" t="s">
        <v>55</v>
      </c>
      <c r="F2" s="148" t="s">
        <v>59</v>
      </c>
      <c r="G2" s="149" t="s">
        <v>56</v>
      </c>
    </row>
    <row r="3" spans="1:7" x14ac:dyDescent="0.25">
      <c r="A3" s="122">
        <v>45688</v>
      </c>
      <c r="B3" s="123">
        <v>3500</v>
      </c>
      <c r="C3" s="123">
        <v>3300</v>
      </c>
      <c r="D3" s="124">
        <f>IF(B3,C3/B3,0)</f>
        <v>0.94285714285714284</v>
      </c>
      <c r="E3" s="123">
        <f>B3-C3</f>
        <v>200</v>
      </c>
      <c r="F3" s="125" t="str">
        <f>IF(B3,IF(D3&gt;=[2]Target!$C$2,"Above Target", "Below Target"),"")</f>
        <v>Below Target</v>
      </c>
      <c r="G3" s="126" t="s">
        <v>57</v>
      </c>
    </row>
    <row r="4" spans="1:7" x14ac:dyDescent="0.25">
      <c r="A4" s="122">
        <v>45716</v>
      </c>
      <c r="B4" s="51">
        <v>3700</v>
      </c>
      <c r="C4" s="51">
        <v>3650</v>
      </c>
      <c r="D4" s="113">
        <f t="shared" ref="D4:D14" si="0">IF(B4,C4/B4,0)</f>
        <v>0.98648648648648651</v>
      </c>
      <c r="E4" s="51">
        <f t="shared" ref="E4:E14" si="1">B4-C4</f>
        <v>50</v>
      </c>
      <c r="F4" s="121" t="str">
        <f>IF(B4,IF(D4&gt;=[2]Target!$C$2,"Above Target", "Below Target"),"")</f>
        <v>Above Target</v>
      </c>
      <c r="G4" s="12" t="s">
        <v>58</v>
      </c>
    </row>
    <row r="5" spans="1:7" x14ac:dyDescent="0.25">
      <c r="A5" s="122">
        <v>45747</v>
      </c>
      <c r="B5" s="51">
        <v>3300</v>
      </c>
      <c r="C5" s="51">
        <v>3000</v>
      </c>
      <c r="D5" s="113">
        <f t="shared" si="0"/>
        <v>0.90909090909090906</v>
      </c>
      <c r="E5" s="51">
        <f t="shared" si="1"/>
        <v>300</v>
      </c>
      <c r="F5" s="121" t="str">
        <f>IF(B5,IF(D5&gt;=[2]Target!$C$2,"Above Target", "Below Target"),"")</f>
        <v>Below Target</v>
      </c>
      <c r="G5" s="12" t="s">
        <v>58</v>
      </c>
    </row>
    <row r="6" spans="1:7" x14ac:dyDescent="0.25">
      <c r="A6" s="122">
        <v>45777</v>
      </c>
      <c r="B6" s="51"/>
      <c r="C6" s="51"/>
      <c r="D6" s="113">
        <f t="shared" si="0"/>
        <v>0</v>
      </c>
      <c r="E6" s="51">
        <f t="shared" si="1"/>
        <v>0</v>
      </c>
      <c r="F6" s="121" t="str">
        <f>IF(B6,IF(D6&gt;=[2]Target!$C$2,"Above Target", "Below Target"),"")</f>
        <v/>
      </c>
      <c r="G6" s="12"/>
    </row>
    <row r="7" spans="1:7" x14ac:dyDescent="0.25">
      <c r="A7" s="122">
        <v>45808</v>
      </c>
      <c r="B7" s="99"/>
      <c r="C7" s="99"/>
      <c r="D7" s="113">
        <f t="shared" si="0"/>
        <v>0</v>
      </c>
      <c r="E7" s="51">
        <f t="shared" si="1"/>
        <v>0</v>
      </c>
      <c r="F7" s="121" t="str">
        <f>IF(B7,IF(D7&gt;=[2]Target!$C$2,"Above Target", "Below Target"),"")</f>
        <v/>
      </c>
      <c r="G7" s="100"/>
    </row>
    <row r="8" spans="1:7" x14ac:dyDescent="0.25">
      <c r="A8" s="122">
        <v>45838</v>
      </c>
      <c r="B8" s="99"/>
      <c r="C8" s="99"/>
      <c r="D8" s="113">
        <f t="shared" si="0"/>
        <v>0</v>
      </c>
      <c r="E8" s="51">
        <f t="shared" si="1"/>
        <v>0</v>
      </c>
      <c r="F8" s="121" t="str">
        <f>IF(B8,IF(D8&gt;=[2]Target!$C$2,"Above Target", "Below Target"),"")</f>
        <v/>
      </c>
      <c r="G8" s="100"/>
    </row>
    <row r="9" spans="1:7" x14ac:dyDescent="0.25">
      <c r="A9" s="122">
        <v>45869</v>
      </c>
      <c r="B9" s="99"/>
      <c r="C9" s="99"/>
      <c r="D9" s="113">
        <f t="shared" si="0"/>
        <v>0</v>
      </c>
      <c r="E9" s="51">
        <f t="shared" si="1"/>
        <v>0</v>
      </c>
      <c r="F9" s="121" t="str">
        <f>IF(B9,IF(D9&gt;=[2]Target!$C$2,"Above Target", "Below Target"),"")</f>
        <v/>
      </c>
      <c r="G9" s="100"/>
    </row>
    <row r="10" spans="1:7" x14ac:dyDescent="0.25">
      <c r="A10" s="122">
        <v>45900</v>
      </c>
      <c r="B10" s="99"/>
      <c r="C10" s="99"/>
      <c r="D10" s="113">
        <f t="shared" si="0"/>
        <v>0</v>
      </c>
      <c r="E10" s="51">
        <f t="shared" si="1"/>
        <v>0</v>
      </c>
      <c r="F10" s="121" t="str">
        <f>IF(B10,IF(D10&gt;=[2]Target!$C$2,"Above Target", "Below Target"),"")</f>
        <v/>
      </c>
      <c r="G10" s="100"/>
    </row>
    <row r="11" spans="1:7" x14ac:dyDescent="0.25">
      <c r="A11" s="122">
        <v>45930</v>
      </c>
      <c r="B11" s="99"/>
      <c r="C11" s="99"/>
      <c r="D11" s="113">
        <f t="shared" si="0"/>
        <v>0</v>
      </c>
      <c r="E11" s="51">
        <f t="shared" si="1"/>
        <v>0</v>
      </c>
      <c r="F11" s="121" t="str">
        <f>IF(B11,IF(D11&gt;=[2]Target!$C$2,"Above Target", "Below Target"),"")</f>
        <v/>
      </c>
      <c r="G11" s="100"/>
    </row>
    <row r="12" spans="1:7" x14ac:dyDescent="0.25">
      <c r="A12" s="122">
        <v>45961</v>
      </c>
      <c r="B12" s="99"/>
      <c r="C12" s="99"/>
      <c r="D12" s="113">
        <f t="shared" si="0"/>
        <v>0</v>
      </c>
      <c r="E12" s="51">
        <f t="shared" si="1"/>
        <v>0</v>
      </c>
      <c r="F12" s="121" t="str">
        <f>IF(B12,IF(D12&gt;=[2]Target!$C$2,"Above Target", "Below Target"),"")</f>
        <v/>
      </c>
      <c r="G12" s="100"/>
    </row>
    <row r="13" spans="1:7" x14ac:dyDescent="0.25">
      <c r="A13" s="122">
        <v>45991</v>
      </c>
      <c r="B13" s="99"/>
      <c r="C13" s="99"/>
      <c r="D13" s="113">
        <f t="shared" si="0"/>
        <v>0</v>
      </c>
      <c r="E13" s="51">
        <f t="shared" si="1"/>
        <v>0</v>
      </c>
      <c r="F13" s="121" t="str">
        <f>IF(B13,IF(D13&gt;=[2]Target!$C$2,"Above Target", "Below Target"),"")</f>
        <v/>
      </c>
      <c r="G13" s="100"/>
    </row>
    <row r="14" spans="1:7" x14ac:dyDescent="0.25">
      <c r="A14" s="122">
        <v>46022</v>
      </c>
      <c r="B14" s="114"/>
      <c r="C14" s="114"/>
      <c r="D14" s="115">
        <f t="shared" si="0"/>
        <v>0</v>
      </c>
      <c r="E14" s="52">
        <f t="shared" si="1"/>
        <v>0</v>
      </c>
      <c r="F14" s="127" t="str">
        <f>IF(B14,IF(D14&gt;=[2]Target!$C$2,"Above Target", "Below Target"),"")</f>
        <v/>
      </c>
      <c r="G14" s="116"/>
    </row>
  </sheetData>
  <mergeCells count="1">
    <mergeCell ref="A1:G1"/>
  </mergeCells>
  <conditionalFormatting sqref="D3:D14">
    <cfRule type="expression" dxfId="5" priority="1">
      <formula>IF($F3="Above Target", TRUE, FALSE)</formula>
    </cfRule>
    <cfRule type="expression" dxfId="4" priority="2">
      <formula>IF($F3="Below Target",TRUE,FALSE)</formula>
    </cfRule>
  </conditionalFormatting>
  <conditionalFormatting sqref="F3:F14">
    <cfRule type="cellIs" dxfId="3" priority="3" operator="equal">
      <formula>"Above Target"</formula>
    </cfRule>
    <cfRule type="cellIs" dxfId="2" priority="4" operator="equal">
      <formula>"Below Target"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70EB-C584-4343-B833-809ED5B062E1}">
  <sheetPr>
    <tabColor rgb="FF92D050"/>
  </sheetPr>
  <dimension ref="A1:E15"/>
  <sheetViews>
    <sheetView workbookViewId="0">
      <selection activeCell="L21" sqref="L21"/>
    </sheetView>
  </sheetViews>
  <sheetFormatPr defaultRowHeight="14.4" x14ac:dyDescent="0.3"/>
  <cols>
    <col min="1" max="3" width="18" customWidth="1"/>
    <col min="4" max="4" width="18" style="128" customWidth="1"/>
    <col min="5" max="5" width="18" customWidth="1"/>
  </cols>
  <sheetData>
    <row r="1" spans="1:5" ht="18" x14ac:dyDescent="0.35">
      <c r="A1" s="272" t="s">
        <v>64</v>
      </c>
      <c r="B1" s="273"/>
      <c r="C1" s="273"/>
      <c r="D1" s="273"/>
      <c r="E1" s="274"/>
    </row>
    <row r="2" spans="1:5" ht="27.6" x14ac:dyDescent="0.3">
      <c r="A2" s="118" t="s">
        <v>9</v>
      </c>
      <c r="B2" s="119" t="s">
        <v>60</v>
      </c>
      <c r="C2" s="119" t="s">
        <v>61</v>
      </c>
      <c r="D2" s="131" t="s">
        <v>62</v>
      </c>
      <c r="E2" s="120" t="s">
        <v>63</v>
      </c>
    </row>
    <row r="3" spans="1:5" x14ac:dyDescent="0.3">
      <c r="A3" s="117">
        <v>45688</v>
      </c>
      <c r="B3" s="50">
        <v>50</v>
      </c>
      <c r="C3" s="50">
        <v>45</v>
      </c>
      <c r="D3" s="130">
        <f>IF(B3,C3/B3,0)</f>
        <v>0.9</v>
      </c>
      <c r="E3" s="14">
        <f>B3-C3</f>
        <v>5</v>
      </c>
    </row>
    <row r="4" spans="1:5" x14ac:dyDescent="0.3">
      <c r="A4" s="117">
        <v>45716</v>
      </c>
      <c r="B4" s="51">
        <v>40</v>
      </c>
      <c r="C4" s="51">
        <v>38</v>
      </c>
      <c r="D4" s="72">
        <f t="shared" ref="D4:D15" si="0">IF(B4,C4/B4,0)</f>
        <v>0.95</v>
      </c>
      <c r="E4" s="12">
        <f>E3+(B4-C4)</f>
        <v>7</v>
      </c>
    </row>
    <row r="5" spans="1:5" x14ac:dyDescent="0.3">
      <c r="A5" s="117">
        <v>45747</v>
      </c>
      <c r="B5" s="51">
        <v>60</v>
      </c>
      <c r="C5" s="51">
        <v>55</v>
      </c>
      <c r="D5" s="72">
        <f t="shared" si="0"/>
        <v>0.91666666666666663</v>
      </c>
      <c r="E5" s="12">
        <f>E4+(B5-C5)</f>
        <v>12</v>
      </c>
    </row>
    <row r="6" spans="1:5" x14ac:dyDescent="0.3">
      <c r="A6" s="117">
        <v>45777</v>
      </c>
      <c r="B6" s="82"/>
      <c r="C6" s="82"/>
      <c r="D6" s="72">
        <f t="shared" si="0"/>
        <v>0</v>
      </c>
      <c r="E6" s="12">
        <f t="shared" ref="E6:E14" si="1">E5+(B6-C6)</f>
        <v>12</v>
      </c>
    </row>
    <row r="7" spans="1:5" x14ac:dyDescent="0.3">
      <c r="A7" s="117">
        <v>45808</v>
      </c>
      <c r="B7" s="82"/>
      <c r="C7" s="82"/>
      <c r="D7" s="72">
        <f t="shared" si="0"/>
        <v>0</v>
      </c>
      <c r="E7" s="12">
        <f t="shared" si="1"/>
        <v>12</v>
      </c>
    </row>
    <row r="8" spans="1:5" x14ac:dyDescent="0.3">
      <c r="A8" s="117">
        <v>45838</v>
      </c>
      <c r="B8" s="82"/>
      <c r="C8" s="82"/>
      <c r="D8" s="72">
        <f t="shared" si="0"/>
        <v>0</v>
      </c>
      <c r="E8" s="12">
        <f t="shared" si="1"/>
        <v>12</v>
      </c>
    </row>
    <row r="9" spans="1:5" x14ac:dyDescent="0.3">
      <c r="A9" s="117">
        <v>45869</v>
      </c>
      <c r="B9" s="82"/>
      <c r="C9" s="82"/>
      <c r="D9" s="72">
        <f t="shared" si="0"/>
        <v>0</v>
      </c>
      <c r="E9" s="12">
        <f t="shared" si="1"/>
        <v>12</v>
      </c>
    </row>
    <row r="10" spans="1:5" x14ac:dyDescent="0.3">
      <c r="A10" s="117">
        <v>45900</v>
      </c>
      <c r="B10" s="82"/>
      <c r="C10" s="82"/>
      <c r="D10" s="72">
        <f t="shared" si="0"/>
        <v>0</v>
      </c>
      <c r="E10" s="12">
        <f t="shared" si="1"/>
        <v>12</v>
      </c>
    </row>
    <row r="11" spans="1:5" x14ac:dyDescent="0.3">
      <c r="A11" s="117">
        <v>45930</v>
      </c>
      <c r="B11" s="82"/>
      <c r="C11" s="82"/>
      <c r="D11" s="72">
        <f t="shared" si="0"/>
        <v>0</v>
      </c>
      <c r="E11" s="12">
        <f t="shared" si="1"/>
        <v>12</v>
      </c>
    </row>
    <row r="12" spans="1:5" x14ac:dyDescent="0.3">
      <c r="A12" s="117">
        <v>45961</v>
      </c>
      <c r="B12" s="82"/>
      <c r="C12" s="82"/>
      <c r="D12" s="72">
        <f t="shared" si="0"/>
        <v>0</v>
      </c>
      <c r="E12" s="12">
        <f t="shared" si="1"/>
        <v>12</v>
      </c>
    </row>
    <row r="13" spans="1:5" x14ac:dyDescent="0.3">
      <c r="A13" s="117">
        <v>45991</v>
      </c>
      <c r="B13" s="82"/>
      <c r="C13" s="82"/>
      <c r="D13" s="72">
        <f t="shared" si="0"/>
        <v>0</v>
      </c>
      <c r="E13" s="12">
        <f t="shared" si="1"/>
        <v>12</v>
      </c>
    </row>
    <row r="14" spans="1:5" x14ac:dyDescent="0.3">
      <c r="A14" s="117">
        <v>46022</v>
      </c>
      <c r="B14" s="84"/>
      <c r="C14" s="84"/>
      <c r="D14" s="132">
        <f t="shared" si="0"/>
        <v>0</v>
      </c>
      <c r="E14" s="133">
        <f t="shared" si="1"/>
        <v>12</v>
      </c>
    </row>
    <row r="15" spans="1:5" ht="15.6" x14ac:dyDescent="0.3">
      <c r="A15" s="134" t="s">
        <v>37</v>
      </c>
      <c r="B15" s="135">
        <f>SUM(B3:B14)</f>
        <v>150</v>
      </c>
      <c r="C15" s="135">
        <f>SUM(C3:C14)</f>
        <v>138</v>
      </c>
      <c r="D15" s="136">
        <f t="shared" si="0"/>
        <v>0.92</v>
      </c>
      <c r="E15" s="137">
        <f>B15-C15</f>
        <v>12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CB5F-038C-443B-97EC-EFF1363A8A94}">
  <sheetPr>
    <tabColor rgb="FFFF00FF"/>
  </sheetPr>
  <dimension ref="A1:H18"/>
  <sheetViews>
    <sheetView workbookViewId="0">
      <selection activeCell="C17" sqref="C17"/>
    </sheetView>
  </sheetViews>
  <sheetFormatPr defaultRowHeight="14.4" x14ac:dyDescent="0.3"/>
  <cols>
    <col min="2" max="2" width="21.33203125" bestFit="1" customWidth="1"/>
    <col min="3" max="4" width="19" customWidth="1"/>
    <col min="5" max="5" width="10" bestFit="1" customWidth="1"/>
    <col min="6" max="7" width="9.5546875" bestFit="1" customWidth="1"/>
    <col min="8" max="8" width="21.77734375" customWidth="1"/>
  </cols>
  <sheetData>
    <row r="1" spans="1:8" ht="18" x14ac:dyDescent="0.35">
      <c r="A1" s="275" t="s">
        <v>104</v>
      </c>
      <c r="B1" s="276"/>
      <c r="C1" s="276"/>
      <c r="D1" s="276"/>
      <c r="E1" s="276"/>
      <c r="F1" s="276"/>
      <c r="G1" s="276"/>
      <c r="H1" s="277"/>
    </row>
    <row r="2" spans="1:8" x14ac:dyDescent="0.3">
      <c r="A2" s="156" t="s">
        <v>102</v>
      </c>
      <c r="B2" s="157" t="s">
        <v>80</v>
      </c>
      <c r="C2" s="157" t="s">
        <v>81</v>
      </c>
      <c r="D2" s="157" t="s">
        <v>105</v>
      </c>
      <c r="E2" s="157" t="s">
        <v>38</v>
      </c>
      <c r="F2" s="157" t="s">
        <v>4</v>
      </c>
      <c r="G2" s="157" t="s">
        <v>5</v>
      </c>
      <c r="H2" s="158" t="s">
        <v>103</v>
      </c>
    </row>
    <row r="3" spans="1:8" x14ac:dyDescent="0.3">
      <c r="A3" s="85">
        <v>1</v>
      </c>
      <c r="B3" s="83" t="s">
        <v>82</v>
      </c>
      <c r="C3" s="83" t="s">
        <v>97</v>
      </c>
      <c r="D3" s="83"/>
      <c r="E3" s="83" t="s">
        <v>99</v>
      </c>
      <c r="F3" s="154">
        <v>44927</v>
      </c>
      <c r="G3" s="154">
        <v>46172</v>
      </c>
      <c r="H3" s="155"/>
    </row>
    <row r="4" spans="1:8" x14ac:dyDescent="0.3">
      <c r="A4" s="86">
        <v>2</v>
      </c>
      <c r="B4" s="82" t="s">
        <v>83</v>
      </c>
      <c r="C4" s="82" t="s">
        <v>97</v>
      </c>
      <c r="D4" s="82"/>
      <c r="E4" s="82" t="s">
        <v>99</v>
      </c>
      <c r="F4" s="150">
        <v>44927</v>
      </c>
      <c r="G4" s="150">
        <v>46172</v>
      </c>
      <c r="H4" s="151"/>
    </row>
    <row r="5" spans="1:8" x14ac:dyDescent="0.3">
      <c r="A5" s="86">
        <v>3</v>
      </c>
      <c r="B5" s="82" t="s">
        <v>84</v>
      </c>
      <c r="C5" s="82" t="s">
        <v>97</v>
      </c>
      <c r="D5" s="82"/>
      <c r="E5" s="82" t="s">
        <v>99</v>
      </c>
      <c r="F5" s="150">
        <v>44927</v>
      </c>
      <c r="G5" s="150">
        <v>46172</v>
      </c>
      <c r="H5" s="151"/>
    </row>
    <row r="6" spans="1:8" x14ac:dyDescent="0.3">
      <c r="A6" s="86">
        <v>4</v>
      </c>
      <c r="B6" s="82" t="s">
        <v>85</v>
      </c>
      <c r="C6" s="82" t="s">
        <v>97</v>
      </c>
      <c r="D6" s="82"/>
      <c r="E6" s="82" t="s">
        <v>99</v>
      </c>
      <c r="F6" s="150">
        <v>44927</v>
      </c>
      <c r="G6" s="150">
        <v>46172</v>
      </c>
      <c r="H6" s="151"/>
    </row>
    <row r="7" spans="1:8" x14ac:dyDescent="0.3">
      <c r="A7" s="86">
        <v>5</v>
      </c>
      <c r="B7" s="82" t="s">
        <v>86</v>
      </c>
      <c r="C7" s="82" t="s">
        <v>97</v>
      </c>
      <c r="D7" s="82"/>
      <c r="E7" s="82" t="s">
        <v>99</v>
      </c>
      <c r="F7" s="150">
        <v>44927</v>
      </c>
      <c r="G7" s="150">
        <v>46172</v>
      </c>
      <c r="H7" s="151"/>
    </row>
    <row r="8" spans="1:8" x14ac:dyDescent="0.3">
      <c r="A8" s="86">
        <v>6</v>
      </c>
      <c r="B8" s="82" t="s">
        <v>87</v>
      </c>
      <c r="C8" s="82" t="s">
        <v>97</v>
      </c>
      <c r="D8" s="82"/>
      <c r="E8" s="82" t="s">
        <v>99</v>
      </c>
      <c r="F8" s="150">
        <v>44927</v>
      </c>
      <c r="G8" s="150">
        <v>46172</v>
      </c>
      <c r="H8" s="151"/>
    </row>
    <row r="9" spans="1:8" x14ac:dyDescent="0.3">
      <c r="A9" s="86">
        <v>7</v>
      </c>
      <c r="B9" s="82" t="s">
        <v>88</v>
      </c>
      <c r="C9" s="82" t="s">
        <v>97</v>
      </c>
      <c r="D9" s="82"/>
      <c r="E9" s="82" t="s">
        <v>100</v>
      </c>
      <c r="F9" s="150">
        <v>44927</v>
      </c>
      <c r="G9" s="150">
        <v>46172</v>
      </c>
      <c r="H9" s="151"/>
    </row>
    <row r="10" spans="1:8" x14ac:dyDescent="0.3">
      <c r="A10" s="86">
        <v>8</v>
      </c>
      <c r="B10" s="82" t="s">
        <v>89</v>
      </c>
      <c r="C10" s="82" t="s">
        <v>98</v>
      </c>
      <c r="D10" s="82" t="s">
        <v>106</v>
      </c>
      <c r="E10" s="82" t="s">
        <v>99</v>
      </c>
      <c r="F10" s="150">
        <v>45413</v>
      </c>
      <c r="G10" s="150">
        <v>46172</v>
      </c>
      <c r="H10" s="151">
        <v>1500000</v>
      </c>
    </row>
    <row r="11" spans="1:8" x14ac:dyDescent="0.3">
      <c r="A11" s="86">
        <v>9</v>
      </c>
      <c r="B11" s="82" t="s">
        <v>90</v>
      </c>
      <c r="C11" s="82" t="s">
        <v>98</v>
      </c>
      <c r="D11" s="82" t="s">
        <v>107</v>
      </c>
      <c r="E11" s="82" t="s">
        <v>99</v>
      </c>
      <c r="F11" s="150">
        <v>45414</v>
      </c>
      <c r="G11" s="150">
        <v>46172</v>
      </c>
      <c r="H11" s="151">
        <v>3000000</v>
      </c>
    </row>
    <row r="12" spans="1:8" x14ac:dyDescent="0.3">
      <c r="A12" s="86">
        <v>10</v>
      </c>
      <c r="B12" s="82" t="s">
        <v>91</v>
      </c>
      <c r="C12" s="82" t="s">
        <v>98</v>
      </c>
      <c r="D12" s="82" t="s">
        <v>108</v>
      </c>
      <c r="E12" s="82" t="s">
        <v>99</v>
      </c>
      <c r="F12" s="150">
        <v>45415</v>
      </c>
      <c r="G12" s="150">
        <v>46172</v>
      </c>
      <c r="H12" s="151">
        <v>5000000</v>
      </c>
    </row>
    <row r="13" spans="1:8" x14ac:dyDescent="0.3">
      <c r="A13" s="86">
        <v>11</v>
      </c>
      <c r="B13" s="82" t="s">
        <v>92</v>
      </c>
      <c r="C13" s="82" t="s">
        <v>98</v>
      </c>
      <c r="D13" s="82" t="s">
        <v>109</v>
      </c>
      <c r="E13" s="82" t="s">
        <v>99</v>
      </c>
      <c r="F13" s="150">
        <v>45416</v>
      </c>
      <c r="G13" s="150">
        <v>46172</v>
      </c>
      <c r="H13" s="151">
        <v>2000000</v>
      </c>
    </row>
    <row r="14" spans="1:8" x14ac:dyDescent="0.3">
      <c r="A14" s="86">
        <v>12</v>
      </c>
      <c r="B14" s="82" t="s">
        <v>93</v>
      </c>
      <c r="C14" s="82" t="s">
        <v>98</v>
      </c>
      <c r="D14" s="82" t="s">
        <v>110</v>
      </c>
      <c r="E14" s="82" t="s">
        <v>99</v>
      </c>
      <c r="F14" s="150">
        <v>45417</v>
      </c>
      <c r="G14" s="150">
        <v>46172</v>
      </c>
      <c r="H14" s="151">
        <v>7000000</v>
      </c>
    </row>
    <row r="15" spans="1:8" x14ac:dyDescent="0.3">
      <c r="A15" s="86">
        <v>13</v>
      </c>
      <c r="B15" s="82" t="s">
        <v>94</v>
      </c>
      <c r="C15" s="82" t="s">
        <v>98</v>
      </c>
      <c r="D15" s="82" t="s">
        <v>111</v>
      </c>
      <c r="E15" s="82" t="s">
        <v>99</v>
      </c>
      <c r="F15" s="150">
        <v>45418</v>
      </c>
      <c r="G15" s="150">
        <v>46172</v>
      </c>
      <c r="H15" s="151">
        <v>1800000</v>
      </c>
    </row>
    <row r="16" spans="1:8" x14ac:dyDescent="0.3">
      <c r="A16" s="86">
        <v>14</v>
      </c>
      <c r="B16" s="82" t="s">
        <v>95</v>
      </c>
      <c r="C16" s="82" t="s">
        <v>98</v>
      </c>
      <c r="D16" s="82"/>
      <c r="E16" s="82" t="s">
        <v>101</v>
      </c>
      <c r="F16" s="82"/>
      <c r="G16" s="82"/>
      <c r="H16" s="151"/>
    </row>
    <row r="17" spans="1:8" x14ac:dyDescent="0.3">
      <c r="A17" s="152">
        <v>15</v>
      </c>
      <c r="B17" s="129" t="s">
        <v>96</v>
      </c>
      <c r="C17" s="129" t="s">
        <v>98</v>
      </c>
      <c r="D17" s="129"/>
      <c r="E17" s="129" t="s">
        <v>101</v>
      </c>
      <c r="F17" s="129"/>
      <c r="G17" s="129"/>
      <c r="H17" s="153"/>
    </row>
    <row r="18" spans="1:8" s="218" customFormat="1" x14ac:dyDescent="0.3">
      <c r="A18" s="215"/>
      <c r="B18" s="216" t="s">
        <v>37</v>
      </c>
      <c r="C18" s="216"/>
      <c r="D18" s="216"/>
      <c r="E18" s="216"/>
      <c r="F18" s="216"/>
      <c r="G18" s="216"/>
      <c r="H18" s="217">
        <f>SUM(H3:H17)</f>
        <v>20300000</v>
      </c>
    </row>
  </sheetData>
  <mergeCells count="1">
    <mergeCell ref="A1:H1"/>
  </mergeCells>
  <phoneticPr fontId="8" type="noConversion"/>
  <dataValidations count="4">
    <dataValidation type="list" allowBlank="1" showInputMessage="1" showErrorMessage="1" sqref="C3:C17" xr:uid="{5395B8FF-FF5F-4527-841E-73F0747CF7EF}">
      <formula1>"In-House, Subcontractor"</formula1>
    </dataValidation>
    <dataValidation type="list" allowBlank="1" showInputMessage="1" showErrorMessage="1" sqref="E3:E17" xr:uid="{1B1BDB3F-FB75-4529-AB43-459383ED6692}">
      <formula1>"Active, On Hold, Not Started"</formula1>
    </dataValidation>
    <dataValidation type="custom" allowBlank="1" showInputMessage="1" showErrorMessage="1" sqref="H3:H17" xr:uid="{B03DB891-14EB-4C9F-B5E6-612941786450}">
      <formula1>IF(C3="Subcontractor", TRUE,FALSE)</formula1>
    </dataValidation>
    <dataValidation type="custom" allowBlank="1" showInputMessage="1" showErrorMessage="1" sqref="D3:D17" xr:uid="{75767BE7-8B49-48FA-B558-95B62B187EF2}">
      <formula1>IF(C3="Subcontractor", TRUE, FALSE)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28F8-DF9D-4DB2-BF03-032DCBC3F1C5}">
  <sheetPr>
    <tabColor rgb="FFFF00FF"/>
  </sheetPr>
  <dimension ref="A1:K10"/>
  <sheetViews>
    <sheetView workbookViewId="0">
      <selection activeCell="G16" sqref="G16"/>
    </sheetView>
  </sheetViews>
  <sheetFormatPr defaultColWidth="12.88671875" defaultRowHeight="13.8" x14ac:dyDescent="0.25"/>
  <cols>
    <col min="1" max="1" width="20.21875" style="10" customWidth="1"/>
    <col min="2" max="2" width="21.88671875" style="10" customWidth="1"/>
    <col min="3" max="8" width="13.109375" style="10" bestFit="1" customWidth="1"/>
    <col min="9" max="10" width="12.88671875" style="10"/>
    <col min="11" max="11" width="14.33203125" style="10" bestFit="1" customWidth="1"/>
    <col min="12" max="16384" width="12.88671875" style="10"/>
  </cols>
  <sheetData>
    <row r="1" spans="1:11" ht="21" thickBot="1" x14ac:dyDescent="0.4">
      <c r="A1" s="287" t="s">
        <v>159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</row>
    <row r="2" spans="1:11" ht="14.4" thickTop="1" x14ac:dyDescent="0.25">
      <c r="A2" s="290" t="s">
        <v>113</v>
      </c>
      <c r="B2" s="291"/>
      <c r="C2" s="219" t="str" cm="1">
        <f t="array" ref="C2:J2">TRANSPOSE(_xlfn._xlws.FILTER(Services!$B$3:$B$17,Services!$C$3:$C$17="Subcontractor"))</f>
        <v>System 8</v>
      </c>
      <c r="D2" s="219" t="str">
        <v>System 9</v>
      </c>
      <c r="E2" s="219" t="str">
        <v>System 10</v>
      </c>
      <c r="F2" s="219" t="str">
        <v>System 11</v>
      </c>
      <c r="G2" s="219" t="str">
        <v>System 12</v>
      </c>
      <c r="H2" s="219" t="str">
        <v>System 13</v>
      </c>
      <c r="I2" s="219" t="str">
        <v>System 14</v>
      </c>
      <c r="J2" s="220" t="str">
        <v>System 15</v>
      </c>
      <c r="K2" s="288" t="s">
        <v>37</v>
      </c>
    </row>
    <row r="3" spans="1:11" ht="14.4" customHeight="1" x14ac:dyDescent="0.25">
      <c r="A3" s="280" t="s">
        <v>114</v>
      </c>
      <c r="B3" s="281"/>
      <c r="C3" s="165" t="str">
        <f>_xlfn.XLOOKUP(C2,Services!$B$3:$B$17,Services!$D$3:$D$17)</f>
        <v>Subcon-01</v>
      </c>
      <c r="D3" s="165" t="str">
        <f>_xlfn.XLOOKUP(D2,Services!$B$3:$B$17,Services!$D$3:$D$17)</f>
        <v>Subcon-02</v>
      </c>
      <c r="E3" s="165" t="str">
        <f>_xlfn.XLOOKUP(E2,Services!$B$3:$B$17,Services!$D$3:$D$17)</f>
        <v>Subcon-03</v>
      </c>
      <c r="F3" s="165" t="str">
        <f>_xlfn.XLOOKUP(F2,Services!$B$3:$B$17,Services!$D$3:$D$17)</f>
        <v>Subcon-04</v>
      </c>
      <c r="G3" s="165" t="str">
        <f>_xlfn.XLOOKUP(G2,Services!$B$3:$B$17,Services!$D$3:$D$17)</f>
        <v>Subcon-05</v>
      </c>
      <c r="H3" s="165" t="str">
        <f>_xlfn.XLOOKUP(H2,Services!$B$3:$B$17,Services!$D$3:$D$17)</f>
        <v>Subcon-06</v>
      </c>
      <c r="I3" s="165">
        <f>_xlfn.XLOOKUP(I2,Services!$B$3:$B$17,Services!$D$3:$D$17)</f>
        <v>0</v>
      </c>
      <c r="J3" s="166">
        <f>_xlfn.XLOOKUP(J2,Services!$B$3:$B$17,Services!$D$3:$D$17)</f>
        <v>0</v>
      </c>
      <c r="K3" s="289"/>
    </row>
    <row r="4" spans="1:11" ht="14.4" customHeight="1" x14ac:dyDescent="0.25">
      <c r="A4" s="286" t="s">
        <v>155</v>
      </c>
      <c r="B4" s="280"/>
      <c r="C4" s="224">
        <v>1300000</v>
      </c>
      <c r="D4" s="224">
        <f>3200000</f>
        <v>3200000</v>
      </c>
      <c r="E4" s="224">
        <v>6000000</v>
      </c>
      <c r="F4" s="224">
        <v>1800000</v>
      </c>
      <c r="G4" s="224">
        <v>7800000</v>
      </c>
      <c r="H4" s="224">
        <v>2200000</v>
      </c>
      <c r="I4" s="224"/>
      <c r="J4" s="225"/>
      <c r="K4" s="226">
        <f>SUM(C4:J4)</f>
        <v>22300000</v>
      </c>
    </row>
    <row r="5" spans="1:11" ht="14.4" thickBot="1" x14ac:dyDescent="0.3">
      <c r="A5" s="282" t="s">
        <v>154</v>
      </c>
      <c r="B5" s="283"/>
      <c r="C5" s="168">
        <f>_xlfn.XLOOKUP(C2,Services!$B$3:$B$17,Services!$H$3:$H$17)</f>
        <v>1500000</v>
      </c>
      <c r="D5" s="168">
        <f>_xlfn.XLOOKUP(D2,Services!$B$3:$B$17,Services!$H$3:$H$17)</f>
        <v>3000000</v>
      </c>
      <c r="E5" s="168">
        <f>_xlfn.XLOOKUP(E2,Services!$B$3:$B$17,Services!$H$3:$H$17)</f>
        <v>5000000</v>
      </c>
      <c r="F5" s="168">
        <f>_xlfn.XLOOKUP(F2,Services!$B$3:$B$17,Services!$H$3:$H$17)</f>
        <v>2000000</v>
      </c>
      <c r="G5" s="168">
        <f>_xlfn.XLOOKUP(G2,Services!$B$3:$B$17,Services!$H$3:$H$17)</f>
        <v>7000000</v>
      </c>
      <c r="H5" s="168">
        <f>_xlfn.XLOOKUP(H2,Services!$B$3:$B$17,Services!$H$3:$H$17)</f>
        <v>1800000</v>
      </c>
      <c r="I5" s="168">
        <f>_xlfn.XLOOKUP(I2,Services!$B$3:$B$17,Services!$H$3:$H$17)</f>
        <v>0</v>
      </c>
      <c r="J5" s="237">
        <f>_xlfn.XLOOKUP(J2,Services!$B$3:$B$17,Services!$H$3:$H$17)</f>
        <v>0</v>
      </c>
      <c r="K5" s="238">
        <f>SUM(C5:J5)</f>
        <v>20300000</v>
      </c>
    </row>
    <row r="6" spans="1:11" ht="14.4" thickTop="1" x14ac:dyDescent="0.25">
      <c r="A6" s="278" t="s">
        <v>112</v>
      </c>
      <c r="B6" s="279"/>
      <c r="C6" s="169">
        <f>IF(C3&gt;0,_xlfn.XLOOKUP(C2,Services!$B$3:$B$17,Services!$F$3:$F$17),"")</f>
        <v>45413</v>
      </c>
      <c r="D6" s="169">
        <f>IF(D3&gt;0,_xlfn.XLOOKUP(D2,Services!$B$3:$B$17,Services!$F$3:$F$17),"")</f>
        <v>45414</v>
      </c>
      <c r="E6" s="169">
        <f>IF(E3&gt;0,_xlfn.XLOOKUP(E2,Services!$B$3:$B$17,Services!$F$3:$F$17),"")</f>
        <v>45415</v>
      </c>
      <c r="F6" s="169">
        <f>IF(F3&gt;0,_xlfn.XLOOKUP(F2,Services!$B$3:$B$17,Services!$F$3:$F$17),"")</f>
        <v>45416</v>
      </c>
      <c r="G6" s="169">
        <f>IF(G3&gt;0,_xlfn.XLOOKUP(G2,Services!$B$3:$B$17,Services!$F$3:$F$17),"")</f>
        <v>45417</v>
      </c>
      <c r="H6" s="169">
        <f>IF(H3&gt;0,_xlfn.XLOOKUP(H2,Services!$B$3:$B$17,Services!$F$3:$F$17),"")</f>
        <v>45418</v>
      </c>
      <c r="I6" s="169" t="str">
        <f>IF(I3&gt;0,_xlfn.XLOOKUP(I2,Services!$B$3:$B$17,Services!$F$3:$F$17),"")</f>
        <v/>
      </c>
      <c r="J6" s="170" t="str">
        <f>IF(J3&gt;0,_xlfn.XLOOKUP(J2,Services!$B$3:$B$17,Services!$F$3:$F$17),"")</f>
        <v/>
      </c>
      <c r="K6" s="208"/>
    </row>
    <row r="7" spans="1:11" x14ac:dyDescent="0.25">
      <c r="A7" s="280" t="s">
        <v>5</v>
      </c>
      <c r="B7" s="281"/>
      <c r="C7" s="171">
        <f>IF(C3&gt;0,_xlfn.XLOOKUP(C2,Services!$B$3:$B$17,Services!$G$3:$G$17),"")</f>
        <v>46172</v>
      </c>
      <c r="D7" s="171">
        <f>IF(D3&gt;0,_xlfn.XLOOKUP(D2,Services!$B$3:$B$17,Services!$G$3:$G$17),"")</f>
        <v>46172</v>
      </c>
      <c r="E7" s="171">
        <f>IF(E3&gt;0,_xlfn.XLOOKUP(E2,Services!$B$3:$B$17,Services!$G$3:$G$17),"")</f>
        <v>46172</v>
      </c>
      <c r="F7" s="171">
        <f>IF(F3&gt;0,_xlfn.XLOOKUP(F2,Services!$B$3:$B$17,Services!$G$3:$G$17),"")</f>
        <v>46172</v>
      </c>
      <c r="G7" s="171">
        <f>IF(G3&gt;0,_xlfn.XLOOKUP(G2,Services!$B$3:$B$17,Services!$G$3:$G$17),"")</f>
        <v>46172</v>
      </c>
      <c r="H7" s="171">
        <f>IF(H3&gt;0,_xlfn.XLOOKUP(H2,Services!$B$3:$B$17,Services!$G$3:$G$17),"")</f>
        <v>46172</v>
      </c>
      <c r="I7" s="171" t="str">
        <f>IF(I3&gt;0,_xlfn.XLOOKUP(I2,Services!$B$3:$B$17,Services!$G$3:$G$17),"")</f>
        <v/>
      </c>
      <c r="J7" s="172" t="str">
        <f>IF(J3&gt;0,_xlfn.XLOOKUP(J2,Services!$B$3:$B$17,Services!$G$3:$G$17),"")</f>
        <v/>
      </c>
      <c r="K7" s="209"/>
    </row>
    <row r="8" spans="1:11" ht="14.4" thickBot="1" x14ac:dyDescent="0.3">
      <c r="A8" s="282" t="s">
        <v>115</v>
      </c>
      <c r="B8" s="283"/>
      <c r="C8" s="167">
        <f>IF(C3&gt;0,DATEDIF(C6,C7,"M"),0)</f>
        <v>24</v>
      </c>
      <c r="D8" s="167">
        <f t="shared" ref="D8:J8" si="0">IF(D3&gt;0,DATEDIF(D6,D7,"M"),0)</f>
        <v>24</v>
      </c>
      <c r="E8" s="167">
        <f t="shared" si="0"/>
        <v>24</v>
      </c>
      <c r="F8" s="167">
        <f t="shared" si="0"/>
        <v>24</v>
      </c>
      <c r="G8" s="167">
        <f t="shared" si="0"/>
        <v>24</v>
      </c>
      <c r="H8" s="167">
        <f t="shared" si="0"/>
        <v>24</v>
      </c>
      <c r="I8" s="167">
        <f t="shared" si="0"/>
        <v>0</v>
      </c>
      <c r="J8" s="173">
        <f t="shared" si="0"/>
        <v>0</v>
      </c>
      <c r="K8" s="210"/>
    </row>
    <row r="9" spans="1:11" ht="15" thickTop="1" thickBot="1" x14ac:dyDescent="0.3">
      <c r="A9" s="284" t="s">
        <v>116</v>
      </c>
      <c r="B9" s="285"/>
      <c r="C9" s="221">
        <f>IF(C8&lt;&gt;0,C5/C8,0)</f>
        <v>62500</v>
      </c>
      <c r="D9" s="221">
        <f t="shared" ref="D9:J9" si="1">IF(D8&lt;&gt;0,D5/D8,0)</f>
        <v>125000</v>
      </c>
      <c r="E9" s="221">
        <f t="shared" si="1"/>
        <v>208333.33333333334</v>
      </c>
      <c r="F9" s="221">
        <f t="shared" si="1"/>
        <v>83333.333333333328</v>
      </c>
      <c r="G9" s="221">
        <f t="shared" si="1"/>
        <v>291666.66666666669</v>
      </c>
      <c r="H9" s="221">
        <f t="shared" si="1"/>
        <v>75000</v>
      </c>
      <c r="I9" s="221">
        <f t="shared" si="1"/>
        <v>0</v>
      </c>
      <c r="J9" s="222">
        <f t="shared" si="1"/>
        <v>0</v>
      </c>
      <c r="K9" s="223">
        <f>SUM(C9:J9)</f>
        <v>845833.33333333337</v>
      </c>
    </row>
    <row r="10" spans="1:11" ht="14.4" thickTop="1" x14ac:dyDescent="0.25">
      <c r="A10" s="227"/>
      <c r="B10" s="227"/>
      <c r="C10" s="227"/>
      <c r="D10" s="227"/>
      <c r="E10" s="227"/>
      <c r="F10" s="227"/>
      <c r="G10" s="227"/>
      <c r="H10" s="227"/>
      <c r="I10" s="227"/>
      <c r="J10" s="227"/>
      <c r="K10" s="227"/>
    </row>
  </sheetData>
  <mergeCells count="10">
    <mergeCell ref="A1:K1"/>
    <mergeCell ref="K2:K3"/>
    <mergeCell ref="A2:B2"/>
    <mergeCell ref="A3:B3"/>
    <mergeCell ref="A5:B5"/>
    <mergeCell ref="A6:B6"/>
    <mergeCell ref="A7:B7"/>
    <mergeCell ref="A8:B8"/>
    <mergeCell ref="A9:B9"/>
    <mergeCell ref="A4:B4"/>
  </mergeCells>
  <conditionalFormatting sqref="C5:K5">
    <cfRule type="cellIs" dxfId="1" priority="1" operator="lessThan">
      <formula>C$4</formula>
    </cfRule>
    <cfRule type="cellIs" dxfId="0" priority="2" operator="greaterThanOrEqual">
      <formula>C$4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A6CE-E8DF-406D-9A73-D150B02B2C77}">
  <sheetPr>
    <tabColor rgb="FFFF00FF"/>
  </sheetPr>
  <dimension ref="A1:K28"/>
  <sheetViews>
    <sheetView workbookViewId="0">
      <selection activeCell="M10" sqref="M10"/>
    </sheetView>
  </sheetViews>
  <sheetFormatPr defaultColWidth="14.21875" defaultRowHeight="14.4" x14ac:dyDescent="0.3"/>
  <cols>
    <col min="1" max="1" width="17" customWidth="1"/>
  </cols>
  <sheetData>
    <row r="1" spans="1:11" s="10" customFormat="1" ht="20.399999999999999" x14ac:dyDescent="0.35">
      <c r="A1" s="294" t="s">
        <v>158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</row>
    <row r="2" spans="1:11" s="10" customFormat="1" ht="13.8" x14ac:dyDescent="0.25">
      <c r="A2" s="228" t="s">
        <v>9</v>
      </c>
      <c r="B2" s="228" t="s">
        <v>156</v>
      </c>
      <c r="C2" s="292" t="s">
        <v>157</v>
      </c>
      <c r="D2" s="292"/>
      <c r="E2" s="292"/>
      <c r="F2" s="292"/>
      <c r="G2" s="292"/>
      <c r="H2" s="292"/>
      <c r="I2" s="292"/>
      <c r="J2" s="292"/>
      <c r="K2" s="228" t="s">
        <v>37</v>
      </c>
    </row>
    <row r="3" spans="1:11" s="10" customFormat="1" ht="13.8" x14ac:dyDescent="0.25">
      <c r="A3" s="159">
        <v>45658</v>
      </c>
      <c r="B3" s="160" t="s">
        <v>118</v>
      </c>
      <c r="C3" s="232">
        <f>Subcontractors!C9</f>
        <v>62500</v>
      </c>
      <c r="D3" s="232">
        <f>Subcontractors!D9</f>
        <v>125000</v>
      </c>
      <c r="E3" s="232">
        <f>Subcontractors!E9</f>
        <v>208333.33333333334</v>
      </c>
      <c r="F3" s="232">
        <f>Subcontractors!F9</f>
        <v>83333.333333333328</v>
      </c>
      <c r="G3" s="232">
        <f>Subcontractors!G9</f>
        <v>291666.66666666669</v>
      </c>
      <c r="H3" s="232">
        <f>Subcontractors!H9</f>
        <v>75000</v>
      </c>
      <c r="I3" s="232">
        <f>Subcontractors!I9</f>
        <v>0</v>
      </c>
      <c r="J3" s="232">
        <f>Subcontractors!J9</f>
        <v>0</v>
      </c>
      <c r="K3" s="229">
        <f>SUM(C3:J3)</f>
        <v>845833.33333333337</v>
      </c>
    </row>
    <row r="4" spans="1:11" s="10" customFormat="1" ht="13.8" x14ac:dyDescent="0.25">
      <c r="A4" s="161"/>
      <c r="B4" s="162" t="s">
        <v>119</v>
      </c>
      <c r="C4" s="76">
        <v>-500</v>
      </c>
      <c r="D4" s="76">
        <v>-300</v>
      </c>
      <c r="E4" s="76"/>
      <c r="F4" s="76"/>
      <c r="G4" s="76"/>
      <c r="H4" s="76"/>
      <c r="I4" s="76"/>
      <c r="J4" s="233"/>
      <c r="K4" s="230">
        <f t="shared" ref="K4:K26" si="0">SUM(C4:J4)</f>
        <v>-800</v>
      </c>
    </row>
    <row r="5" spans="1:11" s="10" customFormat="1" ht="13.8" x14ac:dyDescent="0.25">
      <c r="A5" s="159">
        <v>45689</v>
      </c>
      <c r="B5" s="160" t="s">
        <v>118</v>
      </c>
      <c r="C5" s="232">
        <f>C3</f>
        <v>62500</v>
      </c>
      <c r="D5" s="232">
        <f t="shared" ref="D5:J5" si="1">D3</f>
        <v>125000</v>
      </c>
      <c r="E5" s="232">
        <f t="shared" si="1"/>
        <v>208333.33333333334</v>
      </c>
      <c r="F5" s="232">
        <f t="shared" si="1"/>
        <v>83333.333333333328</v>
      </c>
      <c r="G5" s="232">
        <f t="shared" si="1"/>
        <v>291666.66666666669</v>
      </c>
      <c r="H5" s="232">
        <f t="shared" si="1"/>
        <v>75000</v>
      </c>
      <c r="I5" s="232">
        <f t="shared" si="1"/>
        <v>0</v>
      </c>
      <c r="J5" s="232">
        <f t="shared" si="1"/>
        <v>0</v>
      </c>
      <c r="K5" s="229">
        <f t="shared" si="0"/>
        <v>845833.33333333337</v>
      </c>
    </row>
    <row r="6" spans="1:11" s="10" customFormat="1" ht="13.8" x14ac:dyDescent="0.25">
      <c r="A6" s="161"/>
      <c r="B6" s="162" t="s">
        <v>119</v>
      </c>
      <c r="C6" s="76">
        <v>0</v>
      </c>
      <c r="D6" s="76">
        <v>-300</v>
      </c>
      <c r="E6" s="76"/>
      <c r="F6" s="76"/>
      <c r="G6" s="76"/>
      <c r="H6" s="76"/>
      <c r="I6" s="76"/>
      <c r="J6" s="233"/>
      <c r="K6" s="230">
        <f t="shared" si="0"/>
        <v>-300</v>
      </c>
    </row>
    <row r="7" spans="1:11" s="10" customFormat="1" ht="13.8" x14ac:dyDescent="0.25">
      <c r="A7" s="159">
        <v>45717</v>
      </c>
      <c r="B7" s="160" t="s">
        <v>118</v>
      </c>
      <c r="C7" s="232">
        <f>C5</f>
        <v>62500</v>
      </c>
      <c r="D7" s="232">
        <f t="shared" ref="D7:H7" si="2">D5</f>
        <v>125000</v>
      </c>
      <c r="E7" s="232">
        <f t="shared" si="2"/>
        <v>208333.33333333334</v>
      </c>
      <c r="F7" s="232">
        <f t="shared" si="2"/>
        <v>83333.333333333328</v>
      </c>
      <c r="G7" s="232">
        <f t="shared" si="2"/>
        <v>291666.66666666669</v>
      </c>
      <c r="H7" s="232">
        <f t="shared" si="2"/>
        <v>75000</v>
      </c>
      <c r="I7" s="232"/>
      <c r="J7" s="234"/>
      <c r="K7" s="229">
        <f t="shared" si="0"/>
        <v>845833.33333333337</v>
      </c>
    </row>
    <row r="8" spans="1:11" s="10" customFormat="1" ht="13.8" x14ac:dyDescent="0.25">
      <c r="A8" s="161"/>
      <c r="B8" s="162" t="s">
        <v>119</v>
      </c>
      <c r="C8" s="76">
        <v>-5000</v>
      </c>
      <c r="D8" s="76">
        <v>-10000</v>
      </c>
      <c r="E8" s="76">
        <v>-15000</v>
      </c>
      <c r="F8" s="76"/>
      <c r="G8" s="76"/>
      <c r="H8" s="76"/>
      <c r="I8" s="76"/>
      <c r="J8" s="233"/>
      <c r="K8" s="230">
        <f t="shared" si="0"/>
        <v>-30000</v>
      </c>
    </row>
    <row r="9" spans="1:11" s="10" customFormat="1" ht="13.8" x14ac:dyDescent="0.25">
      <c r="A9" s="159">
        <v>45748</v>
      </c>
      <c r="B9" s="160" t="s">
        <v>118</v>
      </c>
      <c r="C9" s="232"/>
      <c r="D9" s="232"/>
      <c r="E9" s="232"/>
      <c r="F9" s="232"/>
      <c r="G9" s="232"/>
      <c r="H9" s="232"/>
      <c r="I9" s="232"/>
      <c r="J9" s="234"/>
      <c r="K9" s="229">
        <f t="shared" si="0"/>
        <v>0</v>
      </c>
    </row>
    <row r="10" spans="1:11" s="10" customFormat="1" ht="13.8" x14ac:dyDescent="0.25">
      <c r="A10" s="161"/>
      <c r="B10" s="162" t="s">
        <v>119</v>
      </c>
      <c r="C10" s="76"/>
      <c r="D10" s="76"/>
      <c r="E10" s="76"/>
      <c r="F10" s="76"/>
      <c r="G10" s="76"/>
      <c r="H10" s="76"/>
      <c r="I10" s="76"/>
      <c r="J10" s="233"/>
      <c r="K10" s="230">
        <f t="shared" si="0"/>
        <v>0</v>
      </c>
    </row>
    <row r="11" spans="1:11" s="10" customFormat="1" ht="13.8" x14ac:dyDescent="0.25">
      <c r="A11" s="159">
        <v>45778</v>
      </c>
      <c r="B11" s="160" t="s">
        <v>118</v>
      </c>
      <c r="C11" s="232"/>
      <c r="D11" s="232"/>
      <c r="E11" s="232"/>
      <c r="F11" s="232"/>
      <c r="G11" s="232"/>
      <c r="H11" s="232"/>
      <c r="I11" s="232"/>
      <c r="J11" s="234"/>
      <c r="K11" s="229">
        <f t="shared" si="0"/>
        <v>0</v>
      </c>
    </row>
    <row r="12" spans="1:11" s="10" customFormat="1" ht="13.8" x14ac:dyDescent="0.25">
      <c r="A12" s="161"/>
      <c r="B12" s="162" t="s">
        <v>119</v>
      </c>
      <c r="C12" s="76"/>
      <c r="D12" s="76"/>
      <c r="E12" s="76"/>
      <c r="F12" s="76"/>
      <c r="G12" s="76"/>
      <c r="H12" s="76"/>
      <c r="I12" s="76"/>
      <c r="J12" s="233"/>
      <c r="K12" s="230">
        <f t="shared" si="0"/>
        <v>0</v>
      </c>
    </row>
    <row r="13" spans="1:11" s="10" customFormat="1" ht="13.8" x14ac:dyDescent="0.25">
      <c r="A13" s="159">
        <v>45809</v>
      </c>
      <c r="B13" s="160" t="s">
        <v>118</v>
      </c>
      <c r="C13" s="232"/>
      <c r="D13" s="232"/>
      <c r="E13" s="232"/>
      <c r="F13" s="232"/>
      <c r="G13" s="232"/>
      <c r="H13" s="232"/>
      <c r="I13" s="232"/>
      <c r="J13" s="234"/>
      <c r="K13" s="229">
        <f t="shared" si="0"/>
        <v>0</v>
      </c>
    </row>
    <row r="14" spans="1:11" s="10" customFormat="1" ht="13.8" x14ac:dyDescent="0.25">
      <c r="A14" s="161"/>
      <c r="B14" s="162" t="s">
        <v>119</v>
      </c>
      <c r="C14" s="76"/>
      <c r="D14" s="76"/>
      <c r="E14" s="76"/>
      <c r="F14" s="76"/>
      <c r="G14" s="76"/>
      <c r="H14" s="76"/>
      <c r="I14" s="76"/>
      <c r="J14" s="233"/>
      <c r="K14" s="230">
        <f t="shared" si="0"/>
        <v>0</v>
      </c>
    </row>
    <row r="15" spans="1:11" s="10" customFormat="1" ht="13.8" x14ac:dyDescent="0.25">
      <c r="A15" s="159">
        <v>45839</v>
      </c>
      <c r="B15" s="160" t="s">
        <v>118</v>
      </c>
      <c r="C15" s="232"/>
      <c r="D15" s="232"/>
      <c r="E15" s="232"/>
      <c r="F15" s="232"/>
      <c r="G15" s="232"/>
      <c r="H15" s="232"/>
      <c r="I15" s="232"/>
      <c r="J15" s="234"/>
      <c r="K15" s="229">
        <f t="shared" si="0"/>
        <v>0</v>
      </c>
    </row>
    <row r="16" spans="1:11" s="10" customFormat="1" ht="13.8" x14ac:dyDescent="0.25">
      <c r="A16" s="161"/>
      <c r="B16" s="162" t="s">
        <v>119</v>
      </c>
      <c r="C16" s="76"/>
      <c r="D16" s="76"/>
      <c r="E16" s="76"/>
      <c r="F16" s="76"/>
      <c r="G16" s="76"/>
      <c r="H16" s="76"/>
      <c r="I16" s="76"/>
      <c r="J16" s="233"/>
      <c r="K16" s="230">
        <f t="shared" si="0"/>
        <v>0</v>
      </c>
    </row>
    <row r="17" spans="1:11" s="10" customFormat="1" ht="13.8" x14ac:dyDescent="0.25">
      <c r="A17" s="159">
        <v>45870</v>
      </c>
      <c r="B17" s="160" t="s">
        <v>118</v>
      </c>
      <c r="C17" s="232"/>
      <c r="D17" s="232"/>
      <c r="E17" s="232"/>
      <c r="F17" s="232"/>
      <c r="G17" s="232"/>
      <c r="H17" s="232"/>
      <c r="I17" s="232"/>
      <c r="J17" s="234"/>
      <c r="K17" s="229">
        <f t="shared" si="0"/>
        <v>0</v>
      </c>
    </row>
    <row r="18" spans="1:11" s="10" customFormat="1" ht="13.8" x14ac:dyDescent="0.25">
      <c r="A18" s="161"/>
      <c r="B18" s="162" t="s">
        <v>119</v>
      </c>
      <c r="C18" s="76"/>
      <c r="D18" s="76"/>
      <c r="E18" s="76"/>
      <c r="F18" s="76"/>
      <c r="G18" s="76"/>
      <c r="H18" s="76"/>
      <c r="I18" s="76"/>
      <c r="J18" s="233"/>
      <c r="K18" s="230">
        <f t="shared" si="0"/>
        <v>0</v>
      </c>
    </row>
    <row r="19" spans="1:11" s="10" customFormat="1" ht="13.8" x14ac:dyDescent="0.25">
      <c r="A19" s="159">
        <v>45901</v>
      </c>
      <c r="B19" s="160" t="s">
        <v>118</v>
      </c>
      <c r="C19" s="232"/>
      <c r="D19" s="232"/>
      <c r="E19" s="232"/>
      <c r="F19" s="232"/>
      <c r="G19" s="232"/>
      <c r="H19" s="232"/>
      <c r="I19" s="232"/>
      <c r="J19" s="234"/>
      <c r="K19" s="229">
        <f t="shared" si="0"/>
        <v>0</v>
      </c>
    </row>
    <row r="20" spans="1:11" s="10" customFormat="1" ht="13.8" x14ac:dyDescent="0.25">
      <c r="A20" s="161"/>
      <c r="B20" s="162" t="s">
        <v>119</v>
      </c>
      <c r="C20" s="76"/>
      <c r="D20" s="76"/>
      <c r="E20" s="76"/>
      <c r="F20" s="76"/>
      <c r="G20" s="76"/>
      <c r="H20" s="76"/>
      <c r="I20" s="76"/>
      <c r="J20" s="233"/>
      <c r="K20" s="230">
        <f t="shared" si="0"/>
        <v>0</v>
      </c>
    </row>
    <row r="21" spans="1:11" s="10" customFormat="1" ht="13.8" x14ac:dyDescent="0.25">
      <c r="A21" s="159">
        <v>45931</v>
      </c>
      <c r="B21" s="160" t="s">
        <v>118</v>
      </c>
      <c r="C21" s="232"/>
      <c r="D21" s="232"/>
      <c r="E21" s="232"/>
      <c r="F21" s="232"/>
      <c r="G21" s="232"/>
      <c r="H21" s="232"/>
      <c r="I21" s="232"/>
      <c r="J21" s="234"/>
      <c r="K21" s="229">
        <f t="shared" si="0"/>
        <v>0</v>
      </c>
    </row>
    <row r="22" spans="1:11" s="10" customFormat="1" ht="13.8" x14ac:dyDescent="0.25">
      <c r="A22" s="161"/>
      <c r="B22" s="162" t="s">
        <v>119</v>
      </c>
      <c r="C22" s="76"/>
      <c r="D22" s="76"/>
      <c r="E22" s="76"/>
      <c r="F22" s="76"/>
      <c r="G22" s="76"/>
      <c r="H22" s="76"/>
      <c r="I22" s="76"/>
      <c r="J22" s="233"/>
      <c r="K22" s="230">
        <f t="shared" si="0"/>
        <v>0</v>
      </c>
    </row>
    <row r="23" spans="1:11" s="10" customFormat="1" ht="13.8" x14ac:dyDescent="0.25">
      <c r="A23" s="159">
        <v>45962</v>
      </c>
      <c r="B23" s="160" t="s">
        <v>118</v>
      </c>
      <c r="C23" s="232"/>
      <c r="D23" s="232"/>
      <c r="E23" s="232"/>
      <c r="F23" s="232"/>
      <c r="G23" s="232"/>
      <c r="H23" s="232"/>
      <c r="I23" s="232"/>
      <c r="J23" s="234"/>
      <c r="K23" s="229">
        <f t="shared" si="0"/>
        <v>0</v>
      </c>
    </row>
    <row r="24" spans="1:11" s="10" customFormat="1" ht="13.8" x14ac:dyDescent="0.25">
      <c r="A24" s="161"/>
      <c r="B24" s="162" t="s">
        <v>119</v>
      </c>
      <c r="C24" s="76"/>
      <c r="D24" s="76"/>
      <c r="E24" s="76"/>
      <c r="F24" s="76"/>
      <c r="G24" s="76"/>
      <c r="H24" s="76"/>
      <c r="I24" s="76"/>
      <c r="J24" s="233"/>
      <c r="K24" s="230">
        <f t="shared" si="0"/>
        <v>0</v>
      </c>
    </row>
    <row r="25" spans="1:11" s="10" customFormat="1" ht="13.8" x14ac:dyDescent="0.25">
      <c r="A25" s="159">
        <v>45992</v>
      </c>
      <c r="B25" s="160" t="s">
        <v>118</v>
      </c>
      <c r="C25" s="232"/>
      <c r="D25" s="232"/>
      <c r="E25" s="232"/>
      <c r="F25" s="232"/>
      <c r="G25" s="232"/>
      <c r="H25" s="232"/>
      <c r="I25" s="232"/>
      <c r="J25" s="234"/>
      <c r="K25" s="229">
        <f t="shared" si="0"/>
        <v>0</v>
      </c>
    </row>
    <row r="26" spans="1:11" s="10" customFormat="1" thickBot="1" x14ac:dyDescent="0.3">
      <c r="A26" s="174"/>
      <c r="B26" s="175" t="s">
        <v>119</v>
      </c>
      <c r="C26" s="235"/>
      <c r="D26" s="235"/>
      <c r="E26" s="235"/>
      <c r="F26" s="235"/>
      <c r="G26" s="235"/>
      <c r="H26" s="235"/>
      <c r="I26" s="235"/>
      <c r="J26" s="236"/>
      <c r="K26" s="231">
        <f t="shared" si="0"/>
        <v>0</v>
      </c>
    </row>
    <row r="27" spans="1:11" s="10" customFormat="1" ht="16.2" thickTop="1" x14ac:dyDescent="0.3">
      <c r="A27" s="176" t="s">
        <v>120</v>
      </c>
      <c r="B27" s="177">
        <f>SUM(C27:J27)</f>
        <v>2506400</v>
      </c>
      <c r="C27" s="178">
        <f>SUM(C3:C26)</f>
        <v>182000</v>
      </c>
      <c r="D27" s="178">
        <f t="shared" ref="D27:J27" si="3">SUM(D3:D26)</f>
        <v>364400</v>
      </c>
      <c r="E27" s="178">
        <f t="shared" si="3"/>
        <v>610000</v>
      </c>
      <c r="F27" s="178">
        <f t="shared" si="3"/>
        <v>250000</v>
      </c>
      <c r="G27" s="178">
        <f t="shared" si="3"/>
        <v>875000</v>
      </c>
      <c r="H27" s="178">
        <f t="shared" si="3"/>
        <v>225000</v>
      </c>
      <c r="I27" s="178">
        <f t="shared" si="3"/>
        <v>0</v>
      </c>
      <c r="J27" s="178">
        <f t="shared" si="3"/>
        <v>0</v>
      </c>
      <c r="K27" s="211">
        <f>SUM(K3:K26)</f>
        <v>2506400</v>
      </c>
    </row>
    <row r="28" spans="1:11" x14ac:dyDescent="0.3">
      <c r="A28" s="293" t="s">
        <v>117</v>
      </c>
      <c r="B28" s="293"/>
      <c r="C28" s="293"/>
      <c r="D28" s="293"/>
      <c r="E28" s="293"/>
      <c r="F28" s="293"/>
      <c r="G28" s="293"/>
      <c r="H28" s="293"/>
    </row>
  </sheetData>
  <mergeCells count="3">
    <mergeCell ref="C2:J2"/>
    <mergeCell ref="A28:H28"/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9B685-7CFF-4DD9-9BCD-F3E4C58490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Overview</vt:lpstr>
      <vt:lpstr>Financial</vt:lpstr>
      <vt:lpstr>OPEX</vt:lpstr>
      <vt:lpstr>KPI-Penalties</vt:lpstr>
      <vt:lpstr>Billing</vt:lpstr>
      <vt:lpstr>Manpower</vt:lpstr>
      <vt:lpstr>SLA Compliance</vt:lpstr>
      <vt:lpstr>PPM</vt:lpstr>
      <vt:lpstr>WOs</vt:lpstr>
      <vt:lpstr>Services</vt:lpstr>
      <vt:lpstr>Subcontractors</vt:lpstr>
      <vt:lpstr>Subcontractor Monthly 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Chaker</dc:creator>
  <cp:lastModifiedBy>Yahya Chaker</cp:lastModifiedBy>
  <dcterms:created xsi:type="dcterms:W3CDTF">2025-02-10T12:42:24Z</dcterms:created>
  <dcterms:modified xsi:type="dcterms:W3CDTF">2025-03-08T13:10:14Z</dcterms:modified>
</cp:coreProperties>
</file>