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xlParse\AppData\Local\Temp\2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definedNames>
    <definedName name="a">Sheet1!$B$14</definedName>
    <definedName name="b">Sheet1!$B$15</definedName>
    <definedName name="cc">Sheet1!$B$16</definedName>
    <definedName name="diam1">Sheet1!$B$11</definedName>
    <definedName name="diam2">Sheet1!$C$11</definedName>
    <definedName name="_fry1">Sheet1!$H$5</definedName>
    <definedName name="_fry2">Sheet1!$H$6</definedName>
    <definedName name="_frz1">Sheet1!$G$5</definedName>
    <definedName name="_frz2">Sheet1!$G$6</definedName>
    <definedName name="hp">Sheet1!$B$4</definedName>
    <definedName name="ray">Sheet1!$F$9</definedName>
    <definedName name="raz">Sheet1!$G$9</definedName>
    <definedName name="rby">Sheet1!$F$11</definedName>
    <definedName name="rbz">Sheet1!$G$11</definedName>
    <definedName name="rpm">Sheet1!$B$5</definedName>
    <definedName name="theta1a">Sheet1!$B$17</definedName>
    <definedName name="theta1b">Sheet1!$B$18</definedName>
    <definedName name="theta2a">Sheet1!$B$19</definedName>
    <definedName name="theta2b">Sheet1!$B$20</definedName>
    <definedName name="torque">Sheet1!$F$2</definedName>
  </definedNames>
  <calcPr calcId="0"/>
</workbook>
</file>

<file path=xl/calcChain.xml><?xml version="1.0" encoding="utf-8"?>
<calcChain xmlns="http://schemas.openxmlformats.org/spreadsheetml/2006/main">
  <c r="F2" i="1" l="1"/>
  <c r="F5" i="1"/>
  <c r="G5" i="1"/>
  <c r="H5" i="1"/>
  <c r="F6" i="1"/>
  <c r="G6" i="1"/>
  <c r="H6" i="1"/>
  <c r="F9" i="1"/>
  <c r="G9" i="1"/>
  <c r="H9" i="1"/>
  <c r="B11" i="1"/>
  <c r="C11" i="1"/>
  <c r="F11" i="1"/>
  <c r="G11" i="1"/>
  <c r="H11" i="1"/>
  <c r="G15" i="1"/>
  <c r="A26" i="1"/>
  <c r="B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A31" i="1"/>
  <c r="B31" i="1"/>
  <c r="A32" i="1"/>
  <c r="B32" i="1"/>
  <c r="A36" i="1"/>
  <c r="B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A41" i="1"/>
  <c r="B41" i="1"/>
  <c r="A42" i="1"/>
  <c r="B42" i="1"/>
  <c r="B45" i="1"/>
  <c r="C45" i="1"/>
  <c r="B46" i="1"/>
  <c r="C46" i="1"/>
  <c r="B48" i="1"/>
  <c r="B49" i="1"/>
</calcChain>
</file>

<file path=xl/comments1.xml><?xml version="1.0" encoding="utf-8"?>
<comments xmlns="http://schemas.openxmlformats.org/spreadsheetml/2006/main">
  <authors>
    <author>CAEDM Computer Labs</author>
  </authors>
  <commentList>
    <comment ref="B17" authorId="0" shapeId="0">
      <text>
        <r>
          <rPr>
            <b/>
            <sz val="7"/>
            <color indexed="81"/>
            <rFont val="Tahoma"/>
            <family val="2"/>
          </rPr>
          <t>In Radians:
Conversions from degrees can be found to the right</t>
        </r>
      </text>
    </comment>
    <comment ref="B18" authorId="0" shapeId="0">
      <text>
        <r>
          <rPr>
            <b/>
            <sz val="8"/>
            <color indexed="81"/>
            <rFont val="Tahoma"/>
          </rPr>
          <t xml:space="preserve">Note:
</t>
        </r>
        <r>
          <rPr>
            <b/>
            <sz val="8"/>
            <color indexed="81"/>
            <rFont val="Symbol"/>
            <family val="1"/>
            <charset val="2"/>
          </rPr>
          <t>q</t>
        </r>
        <r>
          <rPr>
            <b/>
            <sz val="8"/>
            <color indexed="81"/>
            <rFont val="Tahoma"/>
          </rPr>
          <t xml:space="preserve">1a and </t>
        </r>
        <r>
          <rPr>
            <b/>
            <sz val="8"/>
            <color indexed="81"/>
            <rFont val="Symbol"/>
            <family val="1"/>
            <charset val="2"/>
          </rPr>
          <t>q</t>
        </r>
        <r>
          <rPr>
            <b/>
            <sz val="8"/>
            <color indexed="81"/>
            <rFont val="Tahoma"/>
          </rPr>
          <t>2a relative to the -Z axis</t>
        </r>
      </text>
    </comment>
    <comment ref="B20" authorId="0" shapeId="0">
      <text>
        <r>
          <rPr>
            <b/>
            <sz val="8"/>
            <color indexed="81"/>
            <rFont val="Tahoma"/>
          </rPr>
          <t xml:space="preserve">VERY IMPORTANT !!!
If F1 or F2 point in the clock wise direction, </t>
        </r>
        <r>
          <rPr>
            <b/>
            <sz val="8"/>
            <color indexed="81"/>
            <rFont val="Symbol"/>
            <family val="1"/>
            <charset val="2"/>
          </rPr>
          <t>q</t>
        </r>
        <r>
          <rPr>
            <b/>
            <sz val="8"/>
            <color indexed="81"/>
            <rFont val="Tahoma"/>
          </rPr>
          <t>b must equal pi minus pressure angle</t>
        </r>
      </text>
    </comment>
  </commentList>
</comments>
</file>

<file path=xl/sharedStrings.xml><?xml version="1.0" encoding="utf-8"?>
<sst xmlns="http://schemas.openxmlformats.org/spreadsheetml/2006/main" count="60" uniqueCount="46">
  <si>
    <t>Shaft Power</t>
  </si>
  <si>
    <t>Shaft Speed</t>
  </si>
  <si>
    <t>Diam. Pitch</t>
  </si>
  <si>
    <t>No. Teeth</t>
  </si>
  <si>
    <t>HP</t>
  </si>
  <si>
    <t>RPM</t>
  </si>
  <si>
    <t>Face Width</t>
  </si>
  <si>
    <t>Dimensions</t>
  </si>
  <si>
    <t>Gear 2</t>
  </si>
  <si>
    <t>a</t>
  </si>
  <si>
    <t>b</t>
  </si>
  <si>
    <t>c</t>
  </si>
  <si>
    <r>
      <t>q1</t>
    </r>
    <r>
      <rPr>
        <b/>
        <sz val="10"/>
        <rFont val="Arial"/>
        <family val="2"/>
      </rPr>
      <t>a</t>
    </r>
  </si>
  <si>
    <r>
      <t>q1</t>
    </r>
    <r>
      <rPr>
        <b/>
        <sz val="10"/>
        <rFont val="Arial"/>
        <family val="2"/>
      </rPr>
      <t>b</t>
    </r>
  </si>
  <si>
    <r>
      <t>q2</t>
    </r>
    <r>
      <rPr>
        <b/>
        <sz val="10"/>
        <rFont val="Arial"/>
        <family val="2"/>
      </rPr>
      <t>a</t>
    </r>
  </si>
  <si>
    <r>
      <t>q2</t>
    </r>
    <r>
      <rPr>
        <b/>
        <sz val="10"/>
        <rFont val="Arial"/>
        <family val="2"/>
      </rPr>
      <t>b</t>
    </r>
  </si>
  <si>
    <t>Torque</t>
  </si>
  <si>
    <t>Outpu Info</t>
  </si>
  <si>
    <t>Input Info</t>
  </si>
  <si>
    <t>Diameter</t>
  </si>
  <si>
    <t>in.</t>
  </si>
  <si>
    <t>F res</t>
  </si>
  <si>
    <t>Fz</t>
  </si>
  <si>
    <t>Fy</t>
  </si>
  <si>
    <t>Conversion</t>
  </si>
  <si>
    <t>Degrees</t>
  </si>
  <si>
    <t>Radians</t>
  </si>
  <si>
    <t>Gear 1</t>
  </si>
  <si>
    <t>x axis</t>
  </si>
  <si>
    <t>y axis</t>
  </si>
  <si>
    <t>Ray</t>
  </si>
  <si>
    <t>Raz</t>
  </si>
  <si>
    <t>Rbz</t>
  </si>
  <si>
    <t>Rby</t>
  </si>
  <si>
    <t>Shear</t>
  </si>
  <si>
    <t>Moment</t>
  </si>
  <si>
    <t>XY Plane Coordinates</t>
  </si>
  <si>
    <t>XZ Plane Coordinates</t>
  </si>
  <si>
    <t>lb*in</t>
  </si>
  <si>
    <t>lb</t>
  </si>
  <si>
    <t>Ra Total</t>
  </si>
  <si>
    <t>Rb Total</t>
  </si>
  <si>
    <t>Total</t>
  </si>
  <si>
    <t>Neut. Axis Angle</t>
  </si>
  <si>
    <t>at</t>
  </si>
  <si>
    <t>Max Moment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</si>
</sst>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Symbol"/>
      <family val="1"/>
      <charset val="2"/>
    </font>
    <font>
      <b/>
      <sz val="10"/>
      <name val="Arial"/>
      <family val="2"/>
    </font>
    <font>
      <b/>
      <sz val="7"/>
      <color indexed="81"/>
      <name val="Tahoma"/>
      <family val="2"/>
    </font>
    <font>
      <b/>
      <sz val="8"/>
      <color indexed="81"/>
      <name val="Tahoma"/>
    </font>
    <font>
      <b/>
      <sz val="8"/>
      <color indexed="8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0" xfId="0" applyAlignment="1">
      <alignment horizontal="center"/>
    </xf>
    <xf numFmtId="0" fontId="0" fillId="2" borderId="11" xfId="0" applyFill="1" applyBorder="1"/>
    <xf numFmtId="0" fontId="0" fillId="3" borderId="12" xfId="0" applyFill="1" applyBorder="1"/>
    <xf numFmtId="0" fontId="0" fillId="3" borderId="0" xfId="0" applyFill="1" applyBorder="1"/>
    <xf numFmtId="0" fontId="0" fillId="0" borderId="0" xfId="0" applyAlignment="1"/>
    <xf numFmtId="0" fontId="0" fillId="2" borderId="1" xfId="0" applyFill="1" applyBorder="1"/>
    <xf numFmtId="0" fontId="0" fillId="3" borderId="1" xfId="0" applyFill="1" applyBorder="1"/>
    <xf numFmtId="2" fontId="0" fillId="3" borderId="1" xfId="0" applyNumberFormat="1" applyFill="1" applyBorder="1"/>
    <xf numFmtId="0" fontId="0" fillId="0" borderId="0" xfId="0" applyFill="1" applyBorder="1"/>
    <xf numFmtId="2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0" fillId="0" borderId="1" xfId="0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Shear/Moment Diagram--XY Plane</a:t>
            </a:r>
          </a:p>
        </c:rich>
      </c:tx>
      <c:layout>
        <c:manualLayout>
          <c:xMode val="edge"/>
          <c:yMode val="edge"/>
          <c:x val="0.19154955923960063"/>
          <c:y val="4.43349753694581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74669584437698"/>
          <c:y val="0.19704433497536947"/>
          <c:w val="0.58591629885054308"/>
          <c:h val="0.60098522167487689"/>
        </c:manualLayout>
      </c:layout>
      <c:scatterChart>
        <c:scatterStyle val="lineMarker"/>
        <c:varyColors val="0"/>
        <c:ser>
          <c:idx val="0"/>
          <c:order val="0"/>
          <c:tx>
            <c:v>Shear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Sheet1!$A$26:$A$32</c:f>
              <c:numCache>
                <c:formatCode>General</c:formatCode>
                <c:ptCount val="7"/>
                <c:pt idx="0">
                  <c:v>0</c:v>
                </c:pt>
                <c:pt idx="1">
                  <c:v>1.6</c:v>
                </c:pt>
                <c:pt idx="2">
                  <c:v>1.6</c:v>
                </c:pt>
                <c:pt idx="3">
                  <c:v>3</c:v>
                </c:pt>
                <c:pt idx="4">
                  <c:v>3</c:v>
                </c:pt>
                <c:pt idx="5">
                  <c:v>4.2</c:v>
                </c:pt>
                <c:pt idx="6">
                  <c:v>4.2</c:v>
                </c:pt>
              </c:numCache>
            </c:numRef>
          </c:xVal>
          <c:yVal>
            <c:numRef>
              <c:f>Sheet1!$B$26:$B$32</c:f>
              <c:numCache>
                <c:formatCode>0.00</c:formatCode>
                <c:ptCount val="7"/>
                <c:pt idx="0">
                  <c:v>211.88559331986505</c:v>
                </c:pt>
                <c:pt idx="1">
                  <c:v>211.88559331986505</c:v>
                </c:pt>
                <c:pt idx="2">
                  <c:v>12.65105584597967</c:v>
                </c:pt>
                <c:pt idx="3">
                  <c:v>12.65105584597967</c:v>
                </c:pt>
                <c:pt idx="4">
                  <c:v>-297.27368958012988</c:v>
                </c:pt>
                <c:pt idx="5">
                  <c:v>-297.27368958012988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6-4EF9-ACDF-45B30D591C8A}"/>
            </c:ext>
          </c:extLst>
        </c:ser>
        <c:ser>
          <c:idx val="1"/>
          <c:order val="1"/>
          <c:tx>
            <c:v>Moment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Sheet1!$C$26:$C$29</c:f>
              <c:numCache>
                <c:formatCode>General</c:formatCode>
                <c:ptCount val="4"/>
                <c:pt idx="0">
                  <c:v>0</c:v>
                </c:pt>
                <c:pt idx="1">
                  <c:v>1.6</c:v>
                </c:pt>
                <c:pt idx="2">
                  <c:v>3</c:v>
                </c:pt>
                <c:pt idx="3">
                  <c:v>4.2</c:v>
                </c:pt>
              </c:numCache>
            </c:numRef>
          </c:xVal>
          <c:yVal>
            <c:numRef>
              <c:f>Sheet1!$D$26:$D$29</c:f>
              <c:numCache>
                <c:formatCode>General</c:formatCode>
                <c:ptCount val="4"/>
                <c:pt idx="0">
                  <c:v>0</c:v>
                </c:pt>
                <c:pt idx="1">
                  <c:v>339.01694931178412</c:v>
                </c:pt>
                <c:pt idx="2">
                  <c:v>356.72842749615563</c:v>
                </c:pt>
                <c:pt idx="3">
                  <c:v>-2.2737367544323206E-13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B6-4EF9-ACDF-45B30D591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35792"/>
        <c:axId val="1"/>
      </c:scatterChart>
      <c:valAx>
        <c:axId val="11523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Position</a:t>
                </a:r>
              </a:p>
            </c:rich>
          </c:tx>
          <c:layout>
            <c:manualLayout>
              <c:xMode val="edge"/>
              <c:yMode val="edge"/>
              <c:x val="0.38309911847920125"/>
              <c:y val="0.847290640394088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Shear</a:t>
                </a:r>
              </a:p>
            </c:rich>
          </c:tx>
          <c:layout>
            <c:manualLayout>
              <c:xMode val="edge"/>
              <c:yMode val="edge"/>
              <c:x val="1.4084526414676517E-2"/>
              <c:y val="0.4088669950738916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2357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746585809014368"/>
          <c:y val="0.39901477832512317"/>
          <c:w val="0.20563408565427715"/>
          <c:h val="0.2807881773399014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Shear/Moment Diagram--XZ Plane</a:t>
            </a:r>
          </a:p>
        </c:rich>
      </c:tx>
      <c:layout>
        <c:manualLayout>
          <c:xMode val="edge"/>
          <c:yMode val="edge"/>
          <c:x val="0.199438202247191"/>
          <c:y val="2.45099212523037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73033707865167"/>
          <c:y val="0.18627540151750879"/>
          <c:w val="0.5814606741573034"/>
          <c:h val="0.63725795255989848"/>
        </c:manualLayout>
      </c:layout>
      <c:scatterChart>
        <c:scatterStyle val="lineMarker"/>
        <c:varyColors val="0"/>
        <c:ser>
          <c:idx val="0"/>
          <c:order val="0"/>
          <c:tx>
            <c:v>Shear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Sheet1!$A$36:$A$42</c:f>
              <c:numCache>
                <c:formatCode>General</c:formatCode>
                <c:ptCount val="7"/>
                <c:pt idx="0">
                  <c:v>0</c:v>
                </c:pt>
                <c:pt idx="1">
                  <c:v>1.6</c:v>
                </c:pt>
                <c:pt idx="2">
                  <c:v>1.6</c:v>
                </c:pt>
                <c:pt idx="3">
                  <c:v>3</c:v>
                </c:pt>
                <c:pt idx="4">
                  <c:v>3</c:v>
                </c:pt>
                <c:pt idx="5">
                  <c:v>4.2</c:v>
                </c:pt>
                <c:pt idx="6">
                  <c:v>4.2</c:v>
                </c:pt>
              </c:numCache>
            </c:numRef>
          </c:xVal>
          <c:yVal>
            <c:numRef>
              <c:f>Sheet1!$B$36:$B$42</c:f>
              <c:numCache>
                <c:formatCode>0.00</c:formatCode>
                <c:ptCount val="7"/>
                <c:pt idx="0">
                  <c:v>74.602224830358196</c:v>
                </c:pt>
                <c:pt idx="1">
                  <c:v>74.602224830358196</c:v>
                </c:pt>
                <c:pt idx="2">
                  <c:v>-352.66133713171416</c:v>
                </c:pt>
                <c:pt idx="3">
                  <c:v>-352.66133713171416</c:v>
                </c:pt>
                <c:pt idx="4">
                  <c:v>311.96859354652202</c:v>
                </c:pt>
                <c:pt idx="5">
                  <c:v>311.96859354652202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7-444B-8C68-D3878B3C98C1}"/>
            </c:ext>
          </c:extLst>
        </c:ser>
        <c:ser>
          <c:idx val="1"/>
          <c:order val="1"/>
          <c:tx>
            <c:v>Moment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Sheet1!$C$36:$C$39</c:f>
              <c:numCache>
                <c:formatCode>General</c:formatCode>
                <c:ptCount val="4"/>
                <c:pt idx="0">
                  <c:v>0</c:v>
                </c:pt>
                <c:pt idx="1">
                  <c:v>1.6</c:v>
                </c:pt>
                <c:pt idx="2">
                  <c:v>3</c:v>
                </c:pt>
                <c:pt idx="3">
                  <c:v>4.2</c:v>
                </c:pt>
              </c:numCache>
            </c:numRef>
          </c:xVal>
          <c:yVal>
            <c:numRef>
              <c:f>Sheet1!$D$36:$D$39</c:f>
              <c:numCache>
                <c:formatCode>General</c:formatCode>
                <c:ptCount val="4"/>
                <c:pt idx="0">
                  <c:v>0</c:v>
                </c:pt>
                <c:pt idx="1">
                  <c:v>119.36355972857312</c:v>
                </c:pt>
                <c:pt idx="2">
                  <c:v>-374.36231225582668</c:v>
                </c:pt>
                <c:pt idx="3">
                  <c:v>-2.8421709430404007E-13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D7-444B-8C68-D3878B3C9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2504"/>
        <c:axId val="1"/>
      </c:scatterChart>
      <c:valAx>
        <c:axId val="114802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Position</a:t>
                </a:r>
              </a:p>
            </c:rich>
          </c:tx>
          <c:layout>
            <c:manualLayout>
              <c:xMode val="edge"/>
              <c:yMode val="edge"/>
              <c:x val="0.38764044943820225"/>
              <c:y val="0.872553196582014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Shear</a:t>
                </a:r>
              </a:p>
            </c:rich>
          </c:tx>
          <c:layout>
            <c:manualLayout>
              <c:xMode val="edge"/>
              <c:yMode val="edge"/>
              <c:x val="1.6853932584269662E-2"/>
              <c:y val="0.4166686612891644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8025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96629213483146"/>
          <c:y val="0.33823691328179228"/>
          <c:w val="0.21067415730337077"/>
          <c:h val="0.299021039278106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21</xdr:row>
      <xdr:rowOff>95250</xdr:rowOff>
    </xdr:from>
    <xdr:to>
      <xdr:col>9</xdr:col>
      <xdr:colOff>76200</xdr:colOff>
      <xdr:row>33</xdr:row>
      <xdr:rowOff>85725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A3E3DDA0-BEFA-4A55-8C59-F0F5361D4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33</xdr:row>
      <xdr:rowOff>104775</xdr:rowOff>
    </xdr:from>
    <xdr:to>
      <xdr:col>9</xdr:col>
      <xdr:colOff>76200</xdr:colOff>
      <xdr:row>45</xdr:row>
      <xdr:rowOff>104775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734A6D69-19EE-470A-A126-F58003ACE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152400</xdr:colOff>
      <xdr:row>1</xdr:row>
      <xdr:rowOff>114300</xdr:rowOff>
    </xdr:from>
    <xdr:to>
      <xdr:col>14</xdr:col>
      <xdr:colOff>190500</xdr:colOff>
      <xdr:row>16</xdr:row>
      <xdr:rowOff>28575</xdr:rowOff>
    </xdr:to>
    <xdr:pic>
      <xdr:nvPicPr>
        <xdr:cNvPr id="1037" name="Picture 13">
          <a:extLst>
            <a:ext uri="{FF2B5EF4-FFF2-40B4-BE49-F238E27FC236}">
              <a16:creationId xmlns:a16="http://schemas.microsoft.com/office/drawing/2014/main" id="{BF6EC838-15B2-4B42-BF88-3513000F4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276225"/>
          <a:ext cx="3581400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A19" sqref="A19"/>
    </sheetView>
  </sheetViews>
  <sheetFormatPr defaultColWidth="8.85546875" defaultRowHeight="12.75" x14ac:dyDescent="0.2"/>
  <cols>
    <col min="1" max="1" width="13.42578125" customWidth="1"/>
    <col min="2" max="2" width="8.42578125" customWidth="1"/>
    <col min="3" max="3" width="8.7109375" customWidth="1"/>
    <col min="4" max="4" width="9.28515625" customWidth="1"/>
    <col min="5" max="6" width="8.85546875" customWidth="1"/>
    <col min="7" max="7" width="12.42578125" bestFit="1" customWidth="1"/>
    <col min="8" max="8" width="11.85546875" customWidth="1"/>
  </cols>
  <sheetData>
    <row r="1" spans="1:9" x14ac:dyDescent="0.2">
      <c r="A1" s="3" t="s">
        <v>18</v>
      </c>
      <c r="B1" s="15"/>
    </row>
    <row r="2" spans="1:9" ht="13.5" thickBot="1" x14ac:dyDescent="0.25">
      <c r="A2" s="3" t="s">
        <v>17</v>
      </c>
      <c r="B2" s="16"/>
      <c r="E2" t="s">
        <v>16</v>
      </c>
      <c r="F2" s="20">
        <f>63025.36*hp/rpm</f>
        <v>747.70995272727282</v>
      </c>
      <c r="G2" t="s">
        <v>38</v>
      </c>
    </row>
    <row r="3" spans="1:9" ht="13.5" thickBot="1" x14ac:dyDescent="0.25"/>
    <row r="4" spans="1:9" x14ac:dyDescent="0.2">
      <c r="A4" t="s">
        <v>0</v>
      </c>
      <c r="B4" s="5">
        <v>26.1</v>
      </c>
      <c r="C4" t="s">
        <v>4</v>
      </c>
      <c r="F4" s="14" t="s">
        <v>21</v>
      </c>
      <c r="G4" s="14" t="s">
        <v>22</v>
      </c>
      <c r="H4" s="14" t="s">
        <v>23</v>
      </c>
    </row>
    <row r="5" spans="1:9" ht="13.5" thickBot="1" x14ac:dyDescent="0.25">
      <c r="A5" t="s">
        <v>1</v>
      </c>
      <c r="B5" s="6">
        <v>2200</v>
      </c>
      <c r="C5" t="s">
        <v>5</v>
      </c>
      <c r="E5" t="s">
        <v>27</v>
      </c>
      <c r="F5" s="21">
        <f>ABS(2*torque/(diam1*COS(theta1b)))</f>
        <v>471.43244723178606</v>
      </c>
      <c r="G5" s="21">
        <f>-F5*(COS(PI()/2+theta1a+theta1b))</f>
        <v>-427.26356196207234</v>
      </c>
      <c r="H5" s="21">
        <f>$F5*(SIN(PI()/2+theta1a+theta1b))</f>
        <v>-199.23453747388538</v>
      </c>
      <c r="I5" t="s">
        <v>39</v>
      </c>
    </row>
    <row r="6" spans="1:9" x14ac:dyDescent="0.2">
      <c r="B6" s="2"/>
      <c r="E6" t="s">
        <v>8</v>
      </c>
      <c r="F6" s="21">
        <f>ABS(2*torque/(diam2*COS(theta2b)))</f>
        <v>733.33913885786558</v>
      </c>
      <c r="G6" s="21">
        <f>-F6*(COS(PI()/2+theta2a+theta2b))</f>
        <v>664.62993067823618</v>
      </c>
      <c r="H6" s="21">
        <f>$F6*(SIN(PI()/2+theta2a+theta2b))</f>
        <v>-309.92474542610955</v>
      </c>
      <c r="I6" t="s">
        <v>39</v>
      </c>
    </row>
    <row r="7" spans="1:9" ht="13.5" thickBot="1" x14ac:dyDescent="0.25">
      <c r="B7" t="s">
        <v>27</v>
      </c>
      <c r="C7" t="s">
        <v>8</v>
      </c>
    </row>
    <row r="8" spans="1:9" x14ac:dyDescent="0.2">
      <c r="A8" t="s">
        <v>3</v>
      </c>
      <c r="B8" s="7">
        <v>42</v>
      </c>
      <c r="C8" s="8">
        <v>18</v>
      </c>
      <c r="F8" t="s">
        <v>30</v>
      </c>
      <c r="G8" t="s">
        <v>31</v>
      </c>
      <c r="H8" t="s">
        <v>40</v>
      </c>
    </row>
    <row r="9" spans="1:9" x14ac:dyDescent="0.2">
      <c r="A9" t="s">
        <v>6</v>
      </c>
      <c r="B9" s="9">
        <v>1.4</v>
      </c>
      <c r="C9" s="10">
        <v>1.4</v>
      </c>
      <c r="F9" s="26">
        <f>(-$H$6*cc-$H$5*(cc+b))/(a+b+cc)</f>
        <v>211.88559331986505</v>
      </c>
      <c r="G9" s="26">
        <f>(-$G$6*cc-$G$5*(cc+b))/(a+b+cc)</f>
        <v>74.602224830358196</v>
      </c>
      <c r="H9" s="26">
        <f>SQRT(ray^2+raz^2)</f>
        <v>224.63525236736677</v>
      </c>
    </row>
    <row r="10" spans="1:9" ht="13.5" thickBot="1" x14ac:dyDescent="0.25">
      <c r="A10" t="s">
        <v>2</v>
      </c>
      <c r="B10" s="11">
        <v>12</v>
      </c>
      <c r="C10" s="12">
        <v>8</v>
      </c>
      <c r="D10" t="s">
        <v>20</v>
      </c>
      <c r="F10" t="s">
        <v>33</v>
      </c>
      <c r="G10" t="s">
        <v>32</v>
      </c>
      <c r="H10" t="s">
        <v>41</v>
      </c>
    </row>
    <row r="11" spans="1:9" x14ac:dyDescent="0.2">
      <c r="A11" t="s">
        <v>19</v>
      </c>
      <c r="B11" s="17">
        <f>B8/B10</f>
        <v>3.5</v>
      </c>
      <c r="C11" s="17">
        <f>C8/C10</f>
        <v>2.25</v>
      </c>
      <c r="D11" t="s">
        <v>20</v>
      </c>
      <c r="F11" s="26">
        <f>(-$H$5*a-$H$6*(a+b))/(a+b+cc)</f>
        <v>297.27368958012983</v>
      </c>
      <c r="G11" s="26">
        <f>(-$G$5*a-$G$6*(a+b))/(a+b+cc)</f>
        <v>-311.96859354652207</v>
      </c>
      <c r="H11" s="26">
        <f>SQRT(rby^2+rbz^2)</f>
        <v>430.9246452408803</v>
      </c>
    </row>
    <row r="12" spans="1:9" x14ac:dyDescent="0.2">
      <c r="B12" s="22"/>
      <c r="C12" s="22"/>
    </row>
    <row r="13" spans="1:9" ht="13.5" thickBot="1" x14ac:dyDescent="0.25">
      <c r="B13" t="s">
        <v>7</v>
      </c>
      <c r="F13" s="18" t="s">
        <v>24</v>
      </c>
      <c r="G13" s="18"/>
    </row>
    <row r="14" spans="1:9" x14ac:dyDescent="0.2">
      <c r="A14" s="3" t="s">
        <v>9</v>
      </c>
      <c r="B14" s="5">
        <v>1.6</v>
      </c>
      <c r="F14" s="1" t="s">
        <v>25</v>
      </c>
      <c r="G14" s="1" t="s">
        <v>26</v>
      </c>
    </row>
    <row r="15" spans="1:9" x14ac:dyDescent="0.2">
      <c r="A15" s="3" t="s">
        <v>10</v>
      </c>
      <c r="B15" s="13">
        <v>1.4</v>
      </c>
      <c r="F15" s="19">
        <v>25</v>
      </c>
      <c r="G15" s="28">
        <f>RADIANS(F15)</f>
        <v>0.43633231299858238</v>
      </c>
    </row>
    <row r="16" spans="1:9" x14ac:dyDescent="0.2">
      <c r="A16" s="3" t="s">
        <v>11</v>
      </c>
      <c r="B16" s="13">
        <v>1.2</v>
      </c>
    </row>
    <row r="17" spans="1:4" x14ac:dyDescent="0.2">
      <c r="A17" s="4" t="s">
        <v>12</v>
      </c>
      <c r="B17" s="13">
        <v>1.5708</v>
      </c>
    </row>
    <row r="18" spans="1:4" x14ac:dyDescent="0.2">
      <c r="A18" s="4" t="s">
        <v>13</v>
      </c>
      <c r="B18" s="13">
        <v>2.70526</v>
      </c>
    </row>
    <row r="19" spans="1:4" x14ac:dyDescent="0.2">
      <c r="A19" s="4" t="s">
        <v>14</v>
      </c>
      <c r="B19" s="13">
        <v>1.5708</v>
      </c>
    </row>
    <row r="20" spans="1:4" ht="13.5" thickBot="1" x14ac:dyDescent="0.25">
      <c r="A20" s="4" t="s">
        <v>15</v>
      </c>
      <c r="B20" s="6">
        <v>0.436332</v>
      </c>
    </row>
    <row r="23" spans="1:4" x14ac:dyDescent="0.2">
      <c r="A23" s="29" t="s">
        <v>36</v>
      </c>
      <c r="B23" s="29"/>
      <c r="C23" s="29"/>
      <c r="D23" s="29"/>
    </row>
    <row r="24" spans="1:4" x14ac:dyDescent="0.2">
      <c r="A24" s="30" t="s">
        <v>34</v>
      </c>
      <c r="B24" s="30"/>
      <c r="C24" s="30" t="s">
        <v>35</v>
      </c>
      <c r="D24" s="30"/>
    </row>
    <row r="25" spans="1:4" x14ac:dyDescent="0.2">
      <c r="A25" s="14" t="s">
        <v>28</v>
      </c>
      <c r="B25" s="14" t="s">
        <v>29</v>
      </c>
      <c r="C25" s="14" t="s">
        <v>28</v>
      </c>
      <c r="D25" s="14" t="s">
        <v>29</v>
      </c>
    </row>
    <row r="26" spans="1:4" x14ac:dyDescent="0.2">
      <c r="A26">
        <f>0</f>
        <v>0</v>
      </c>
      <c r="B26" s="23">
        <f>ray</f>
        <v>211.88559331986505</v>
      </c>
      <c r="C26">
        <v>0</v>
      </c>
      <c r="D26">
        <v>0</v>
      </c>
    </row>
    <row r="27" spans="1:4" x14ac:dyDescent="0.2">
      <c r="A27">
        <f>a</f>
        <v>1.6</v>
      </c>
      <c r="B27" s="23">
        <f>ray</f>
        <v>211.88559331986505</v>
      </c>
      <c r="C27">
        <f>a</f>
        <v>1.6</v>
      </c>
      <c r="D27">
        <f>ray*a</f>
        <v>339.01694931178412</v>
      </c>
    </row>
    <row r="28" spans="1:4" x14ac:dyDescent="0.2">
      <c r="A28">
        <f>a</f>
        <v>1.6</v>
      </c>
      <c r="B28" s="23">
        <f>ray+_fry1</f>
        <v>12.65105584597967</v>
      </c>
      <c r="C28">
        <f>a+b</f>
        <v>3</v>
      </c>
      <c r="D28">
        <f>a*ray+b*(ray+_fry1)</f>
        <v>356.72842749615563</v>
      </c>
    </row>
    <row r="29" spans="1:4" x14ac:dyDescent="0.2">
      <c r="A29">
        <f>a+b</f>
        <v>3</v>
      </c>
      <c r="B29" s="23">
        <f>B28</f>
        <v>12.65105584597967</v>
      </c>
      <c r="C29">
        <f>a+b+cc</f>
        <v>4.2</v>
      </c>
      <c r="D29">
        <f>a*ray+b*(ray+_fry1)+cc*(ray+_fry1+_fry2)</f>
        <v>-2.2737367544323206E-13</v>
      </c>
    </row>
    <row r="30" spans="1:4" x14ac:dyDescent="0.2">
      <c r="A30">
        <f>A29</f>
        <v>3</v>
      </c>
      <c r="B30" s="23">
        <f>ray+_fry1+_fry2</f>
        <v>-297.27368958012988</v>
      </c>
    </row>
    <row r="31" spans="1:4" x14ac:dyDescent="0.2">
      <c r="A31">
        <f>a+b+cc</f>
        <v>4.2</v>
      </c>
      <c r="B31" s="23">
        <f>B30</f>
        <v>-297.27368958012988</v>
      </c>
    </row>
    <row r="32" spans="1:4" x14ac:dyDescent="0.2">
      <c r="A32">
        <f>A31</f>
        <v>4.2</v>
      </c>
      <c r="B32" s="23">
        <f>ray+_fry1+_fry2+rby</f>
        <v>0</v>
      </c>
    </row>
    <row r="34" spans="1:4" x14ac:dyDescent="0.2">
      <c r="A34" s="29" t="s">
        <v>37</v>
      </c>
      <c r="B34" s="29"/>
      <c r="C34" s="29"/>
      <c r="D34" s="29"/>
    </row>
    <row r="35" spans="1:4" x14ac:dyDescent="0.2">
      <c r="A35" s="14" t="s">
        <v>28</v>
      </c>
      <c r="B35" t="s">
        <v>29</v>
      </c>
      <c r="C35" t="s">
        <v>28</v>
      </c>
      <c r="D35" t="s">
        <v>29</v>
      </c>
    </row>
    <row r="36" spans="1:4" x14ac:dyDescent="0.2">
      <c r="A36">
        <f>0</f>
        <v>0</v>
      </c>
      <c r="B36" s="23">
        <f>raz</f>
        <v>74.602224830358196</v>
      </c>
      <c r="C36">
        <v>0</v>
      </c>
      <c r="D36">
        <v>0</v>
      </c>
    </row>
    <row r="37" spans="1:4" x14ac:dyDescent="0.2">
      <c r="A37">
        <f>a</f>
        <v>1.6</v>
      </c>
      <c r="B37" s="23">
        <f>raz</f>
        <v>74.602224830358196</v>
      </c>
      <c r="C37">
        <f>a</f>
        <v>1.6</v>
      </c>
      <c r="D37">
        <f>raz*a</f>
        <v>119.36355972857312</v>
      </c>
    </row>
    <row r="38" spans="1:4" x14ac:dyDescent="0.2">
      <c r="A38">
        <f>a</f>
        <v>1.6</v>
      </c>
      <c r="B38" s="23">
        <f>raz+_frz1</f>
        <v>-352.66133713171416</v>
      </c>
      <c r="C38">
        <f>a+b</f>
        <v>3</v>
      </c>
      <c r="D38">
        <f>a*raz+b*(raz+_frz1)</f>
        <v>-374.36231225582668</v>
      </c>
    </row>
    <row r="39" spans="1:4" x14ac:dyDescent="0.2">
      <c r="A39">
        <f>a+b</f>
        <v>3</v>
      </c>
      <c r="B39" s="23">
        <f>B38</f>
        <v>-352.66133713171416</v>
      </c>
      <c r="C39">
        <f>a+b+cc</f>
        <v>4.2</v>
      </c>
      <c r="D39">
        <f>a*raz+b*(raz+_frz1)+cc*(raz+_frz1+_frz2)</f>
        <v>-2.8421709430404007E-13</v>
      </c>
    </row>
    <row r="40" spans="1:4" x14ac:dyDescent="0.2">
      <c r="A40">
        <f>A39</f>
        <v>3</v>
      </c>
      <c r="B40" s="23">
        <f>raz+_frz1+_frz2</f>
        <v>311.96859354652202</v>
      </c>
    </row>
    <row r="41" spans="1:4" x14ac:dyDescent="0.2">
      <c r="A41">
        <f>a+b+cc</f>
        <v>4.2</v>
      </c>
      <c r="B41" s="23">
        <f>B40</f>
        <v>311.96859354652202</v>
      </c>
    </row>
    <row r="42" spans="1:4" x14ac:dyDescent="0.2">
      <c r="A42">
        <f>A41</f>
        <v>4.2</v>
      </c>
      <c r="B42" s="23">
        <f>raz+_frz1+_frz2+rbz</f>
        <v>0</v>
      </c>
    </row>
    <row r="44" spans="1:4" x14ac:dyDescent="0.2">
      <c r="A44" t="s">
        <v>42</v>
      </c>
      <c r="B44" t="s">
        <v>35</v>
      </c>
      <c r="C44" t="s">
        <v>43</v>
      </c>
    </row>
    <row r="45" spans="1:4" x14ac:dyDescent="0.2">
      <c r="A45" t="s">
        <v>27</v>
      </c>
      <c r="B45" s="26">
        <f>SQRT(D27^2+D37^2)</f>
        <v>359.41640378778686</v>
      </c>
      <c r="C45" s="26">
        <f>DEGREES(ATAN(D27/-D37))</f>
        <v>-70.603481514934757</v>
      </c>
    </row>
    <row r="46" spans="1:4" x14ac:dyDescent="0.2">
      <c r="A46" t="s">
        <v>8</v>
      </c>
      <c r="B46" s="26">
        <f>SQRT(D28^2+D38^2)</f>
        <v>517.10957428905635</v>
      </c>
      <c r="C46" s="26">
        <f>DEGREES(ATAN(D28/-D38))</f>
        <v>43.618295574345417</v>
      </c>
    </row>
    <row r="48" spans="1:4" x14ac:dyDescent="0.2">
      <c r="A48" s="25" t="s">
        <v>45</v>
      </c>
      <c r="B48" s="27">
        <f>IF(B46&gt;B45,B46,B45)</f>
        <v>517.10957428905635</v>
      </c>
      <c r="C48" t="s">
        <v>38</v>
      </c>
    </row>
    <row r="49" spans="1:2" x14ac:dyDescent="0.2">
      <c r="A49" s="25" t="s">
        <v>44</v>
      </c>
      <c r="B49" s="24" t="str">
        <f>IF(B46&gt;B45,A46,A45)</f>
        <v>Gear 2</v>
      </c>
    </row>
  </sheetData>
  <mergeCells count="4">
    <mergeCell ref="A23:D23"/>
    <mergeCell ref="A24:B24"/>
    <mergeCell ref="C24:D24"/>
    <mergeCell ref="A34:D34"/>
  </mergeCells>
  <pageMargins left="0.46" right="0.56000000000000005" top="1" bottom="1" header="0.5" footer="0.5"/>
  <pageSetup orientation="portrait" verticalDpi="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Sheet1</vt:lpstr>
      <vt:lpstr>Sheet2</vt:lpstr>
      <vt:lpstr>Sheet3</vt:lpstr>
      <vt:lpstr>a</vt:lpstr>
      <vt:lpstr>b</vt:lpstr>
      <vt:lpstr>cc</vt:lpstr>
      <vt:lpstr>diam1</vt:lpstr>
      <vt:lpstr>diam2</vt:lpstr>
      <vt:lpstr>fry1</vt:lpstr>
      <vt:lpstr>fry2</vt:lpstr>
      <vt:lpstr>frz1</vt:lpstr>
      <vt:lpstr>frz2</vt:lpstr>
      <vt:lpstr>hp</vt:lpstr>
      <vt:lpstr>ray</vt:lpstr>
      <vt:lpstr>raz</vt:lpstr>
      <vt:lpstr>rby</vt:lpstr>
      <vt:lpstr>rbz</vt:lpstr>
      <vt:lpstr>rpm</vt:lpstr>
      <vt:lpstr>theta1a</vt:lpstr>
      <vt:lpstr>theta1b</vt:lpstr>
      <vt:lpstr>theta2a</vt:lpstr>
      <vt:lpstr>theta2b</vt:lpstr>
      <vt:lpstr>torque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1999-04-15T18:13:58Z</cp:lastPrinted>
  <dcterms:created xsi:type="dcterms:W3CDTF">1999-04-13T21:31:05Z</dcterms:created>
  <dcterms:modified xsi:type="dcterms:W3CDTF">2017-10-13T12:40:53Z</dcterms:modified>
</cp:coreProperties>
</file>