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4DE38153-B855-5044-9082-0C20F85BAAFC}" xr6:coauthVersionLast="47" xr6:coauthVersionMax="47" xr10:uidLastSave="{00000000-0000-0000-0000-000000000000}"/>
  <workbookProtection lockStructure="1"/>
  <bookViews>
    <workbookView xWindow="480" yWindow="460" windowWidth="25940" windowHeight="22640" xr2:uid="{00000000-000D-0000-FFFF-FFFF00000000}"/>
  </bookViews>
  <sheets>
    <sheet name="WT&amp;BAL" sheetId="1" r:id="rId1"/>
  </sheets>
  <definedNames>
    <definedName name="_xlnm.Print_Area" localSheetId="0">'WT&amp;BAL'!$A$1:$L$28</definedName>
  </definedNames>
  <calcPr calcId="191029"/>
</workbook>
</file>

<file path=xl/calcChain.xml><?xml version="1.0" encoding="utf-8"?>
<calcChain xmlns="http://schemas.openxmlformats.org/spreadsheetml/2006/main">
  <c r="P5" i="1" l="1"/>
  <c r="S5" i="1"/>
  <c r="U5" i="1" s="1"/>
  <c r="V5" i="1" s="1"/>
  <c r="R5" i="1"/>
  <c r="S6" i="1"/>
  <c r="D12" i="1"/>
  <c r="P7" i="1" s="1"/>
  <c r="U7" i="1" s="1"/>
  <c r="S7" i="1"/>
  <c r="P8" i="1"/>
  <c r="S8" i="1"/>
  <c r="U8" i="1" s="1"/>
  <c r="P9" i="1"/>
  <c r="S9" i="1"/>
  <c r="U9" i="1"/>
  <c r="E10" i="1"/>
  <c r="P10" i="1"/>
  <c r="S10" i="1"/>
  <c r="U10" i="1"/>
  <c r="D11" i="1"/>
  <c r="P6" i="1" s="1"/>
  <c r="E11" i="1"/>
  <c r="P11" i="1"/>
  <c r="S11" i="1"/>
  <c r="U11" i="1"/>
  <c r="E12" i="1"/>
  <c r="P12" i="1"/>
  <c r="U12" i="1"/>
  <c r="E13" i="1"/>
  <c r="P13" i="1"/>
  <c r="C18" i="1"/>
  <c r="E18" i="1" s="1"/>
  <c r="S13" i="1"/>
  <c r="U13" i="1" s="1"/>
  <c r="E14" i="1"/>
  <c r="E15" i="1"/>
  <c r="E16" i="1"/>
  <c r="E17" i="1"/>
  <c r="E19" i="1" s="1"/>
  <c r="D19" i="1"/>
  <c r="A25" i="1"/>
  <c r="A26" i="1"/>
  <c r="U6" i="1" l="1"/>
  <c r="Q5" i="1"/>
  <c r="V6" i="1"/>
  <c r="R6" i="1"/>
  <c r="R7" i="1" s="1"/>
  <c r="R8" i="1" s="1"/>
  <c r="R9" i="1" s="1"/>
  <c r="R10" i="1" s="1"/>
  <c r="R11" i="1" s="1"/>
  <c r="R12" i="1" s="1"/>
  <c r="R13" i="1" s="1"/>
  <c r="C19" i="1"/>
  <c r="V7" i="1" l="1"/>
  <c r="Q6" i="1"/>
  <c r="F22" i="1"/>
  <c r="A24" i="1"/>
  <c r="F19" i="1"/>
  <c r="A27" i="1" s="1"/>
  <c r="A28" i="1" l="1"/>
  <c r="D26" i="1" s="1"/>
  <c r="Q7" i="1"/>
  <c r="V8" i="1"/>
  <c r="Q8" i="1" l="1"/>
  <c r="V9" i="1"/>
  <c r="V10" i="1" l="1"/>
  <c r="Q9" i="1"/>
  <c r="V11" i="1" l="1"/>
  <c r="Q10" i="1"/>
  <c r="V12" i="1" l="1"/>
  <c r="Q11" i="1"/>
  <c r="V13" i="1" l="1"/>
  <c r="Q13" i="1" s="1"/>
  <c r="Q12" i="1"/>
</calcChain>
</file>

<file path=xl/sharedStrings.xml><?xml version="1.0" encoding="utf-8"?>
<sst xmlns="http://schemas.openxmlformats.org/spreadsheetml/2006/main" count="42" uniqueCount="35">
  <si>
    <t>CG Envelope</t>
  </si>
  <si>
    <t>AC Load</t>
  </si>
  <si>
    <t>CG</t>
  </si>
  <si>
    <t>Weight</t>
  </si>
  <si>
    <t>Cum CG</t>
  </si>
  <si>
    <t>Cum Wt.</t>
  </si>
  <si>
    <t>prod</t>
  </si>
  <si>
    <t>cum prod</t>
  </si>
  <si>
    <t>plane</t>
  </si>
  <si>
    <t xml:space="preserve"> </t>
  </si>
  <si>
    <t>pilot</t>
  </si>
  <si>
    <t>copilot</t>
  </si>
  <si>
    <t>rear pass 1 or cargo</t>
  </si>
  <si>
    <t>Arm</t>
  </si>
  <si>
    <t>Product</t>
  </si>
  <si>
    <t>rear pass 2</t>
  </si>
  <si>
    <t>baggage</t>
  </si>
  <si>
    <t>Pilot pos. 1=Fwd 2=Mid 3=Rear</t>
  </si>
  <si>
    <t>hat rack</t>
  </si>
  <si>
    <t>Copilot position &amp; weight</t>
  </si>
  <si>
    <t>fuel empty</t>
  </si>
  <si>
    <t>Rear Pass 1</t>
  </si>
  <si>
    <t>fuel loaded</t>
  </si>
  <si>
    <t>Rear Pass 2</t>
  </si>
  <si>
    <t>Baggage (120 max)</t>
  </si>
  <si>
    <t>Hat Rack (10 max)</t>
  </si>
  <si>
    <t>Cargo</t>
  </si>
  <si>
    <t>Fuel gals. (75.6 max)</t>
  </si>
  <si>
    <t>TOTALS</t>
  </si>
  <si>
    <t>Aft CG limit:</t>
  </si>
  <si>
    <t>Forward CG limit:</t>
  </si>
  <si>
    <t>WARNINGS</t>
  </si>
  <si>
    <t>Weight &amp; Balance is:</t>
  </si>
  <si>
    <t>Empty Weight  N99376</t>
  </si>
  <si>
    <t>Weight &amp; Balance for Mooney 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</si>
</sst>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"/>
  </numFmts>
  <fonts count="7">
    <font>
      <sz val="10"/>
      <name val="MS Sans Serif"/>
    </font>
    <font>
      <b/>
      <sz val="10"/>
      <name val="MS Sans Serif"/>
    </font>
    <font>
      <sz val="10"/>
      <name val="MS Sans Serif"/>
    </font>
    <font>
      <b/>
      <u/>
      <sz val="10"/>
      <name val="MS Sans Serif"/>
    </font>
    <font>
      <b/>
      <sz val="10"/>
      <color indexed="9"/>
      <name val="MS Sans Serif"/>
    </font>
    <font>
      <sz val="8"/>
      <name val="MS Sans Serif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lightGray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1" fillId="0" borderId="0" xfId="0" applyFont="1" applyBorder="1" applyProtection="1"/>
    <xf numFmtId="0" fontId="0" fillId="0" borderId="0" xfId="0" applyBorder="1" applyProtection="1"/>
    <xf numFmtId="0" fontId="0" fillId="0" borderId="1" xfId="0" applyBorder="1" applyAlignment="1" applyProtection="1">
      <alignment horizontal="centerContinuous"/>
    </xf>
    <xf numFmtId="0" fontId="1" fillId="0" borderId="0" xfId="0" applyFont="1" applyBorder="1" applyAlignment="1" applyProtection="1"/>
    <xf numFmtId="0" fontId="3" fillId="0" borderId="0" xfId="0" applyFont="1" applyProtection="1"/>
    <xf numFmtId="2" fontId="0" fillId="0" borderId="0" xfId="0" applyNumberFormat="1" applyProtection="1"/>
    <xf numFmtId="177" fontId="0" fillId="0" borderId="0" xfId="0" applyNumberFormat="1" applyProtection="1"/>
    <xf numFmtId="176" fontId="0" fillId="0" borderId="0" xfId="0" applyNumberFormat="1" applyProtection="1"/>
    <xf numFmtId="0" fontId="0" fillId="0" borderId="2" xfId="0" applyBorder="1" applyProtection="1"/>
    <xf numFmtId="1" fontId="0" fillId="0" borderId="0" xfId="0" applyNumberFormat="1" applyProtection="1"/>
    <xf numFmtId="176" fontId="0" fillId="0" borderId="2" xfId="0" applyNumberFormat="1" applyBorder="1" applyProtection="1"/>
    <xf numFmtId="2" fontId="0" fillId="0" borderId="2" xfId="0" applyNumberFormat="1" applyBorder="1" applyProtection="1"/>
    <xf numFmtId="40" fontId="0" fillId="0" borderId="0" xfId="1" applyFont="1" applyBorder="1" applyAlignment="1" applyProtection="1">
      <alignment horizontal="left"/>
    </xf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4" fillId="2" borderId="9" xfId="0" applyFont="1" applyFill="1" applyBorder="1" applyAlignment="1" applyProtection="1">
      <alignment horizontal="centerContinuous"/>
    </xf>
    <xf numFmtId="0" fontId="4" fillId="2" borderId="10" xfId="0" applyFont="1" applyFill="1" applyBorder="1" applyAlignment="1" applyProtection="1">
      <alignment horizontal="centerContinuous"/>
    </xf>
    <xf numFmtId="0" fontId="0" fillId="0" borderId="2" xfId="0" applyBorder="1" applyAlignment="1" applyProtection="1">
      <alignment horizontal="center"/>
    </xf>
    <xf numFmtId="1" fontId="6" fillId="3" borderId="11" xfId="0" applyNumberFormat="1" applyFont="1" applyFill="1" applyBorder="1" applyProtection="1">
      <protection locked="0"/>
    </xf>
    <xf numFmtId="1" fontId="6" fillId="3" borderId="12" xfId="0" applyNumberFormat="1" applyFont="1" applyFill="1" applyBorder="1" applyProtection="1">
      <protection locked="0"/>
    </xf>
    <xf numFmtId="176" fontId="6" fillId="3" borderId="13" xfId="0" applyNumberFormat="1" applyFont="1" applyFill="1" applyBorder="1" applyProtection="1">
      <protection locked="0"/>
    </xf>
    <xf numFmtId="176" fontId="6" fillId="3" borderId="14" xfId="0" applyNumberFormat="1" applyFont="1" applyFill="1" applyBorder="1" applyProtection="1">
      <protection locked="0"/>
    </xf>
    <xf numFmtId="176" fontId="6" fillId="3" borderId="15" xfId="0" applyNumberFormat="1" applyFont="1" applyFill="1" applyBorder="1" applyProtection="1">
      <protection locked="0"/>
    </xf>
    <xf numFmtId="176" fontId="6" fillId="3" borderId="16" xfId="0" applyNumberFormat="1" applyFont="1" applyFill="1" applyBorder="1" applyProtection="1">
      <protection locked="0"/>
    </xf>
    <xf numFmtId="176" fontId="6" fillId="3" borderId="17" xfId="0" applyNumberFormat="1" applyFont="1" applyFill="1" applyBorder="1" applyProtection="1"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Weight &amp; Balance Envelope</a:t>
            </a:r>
          </a:p>
        </c:rich>
      </c:tx>
      <c:layout>
        <c:manualLayout>
          <c:xMode val="edge"/>
          <c:yMode val="edge"/>
          <c:x val="0.26446352139161877"/>
          <c:y val="3.1111178626689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08315600022599"/>
          <c:y val="0.14666698495439442"/>
          <c:w val="0.74655848226175714"/>
          <c:h val="0.72444601659291796"/>
        </c:manualLayout>
      </c:layout>
      <c:scatterChart>
        <c:scatterStyle val="lineMarker"/>
        <c:varyColors val="0"/>
        <c:ser>
          <c:idx val="0"/>
          <c:order val="0"/>
          <c:tx>
            <c:v>Weight &amp; Balance Envelope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'WT&amp;BAL'!$M$5:$M$13</c:f>
              <c:numCache>
                <c:formatCode>General</c:formatCode>
                <c:ptCount val="9"/>
                <c:pt idx="0">
                  <c:v>40.6</c:v>
                </c:pt>
                <c:pt idx="1">
                  <c:v>40.6</c:v>
                </c:pt>
                <c:pt idx="2">
                  <c:v>43.5</c:v>
                </c:pt>
                <c:pt idx="3">
                  <c:v>49.3</c:v>
                </c:pt>
                <c:pt idx="4">
                  <c:v>49.3</c:v>
                </c:pt>
                <c:pt idx="5">
                  <c:v>40.6</c:v>
                </c:pt>
                <c:pt idx="6">
                  <c:v>40.6</c:v>
                </c:pt>
                <c:pt idx="7">
                  <c:v>40.6</c:v>
                </c:pt>
                <c:pt idx="8">
                  <c:v>40.6</c:v>
                </c:pt>
              </c:numCache>
            </c:numRef>
          </c:xVal>
          <c:yVal>
            <c:numRef>
              <c:f>'WT&amp;BAL'!$N$5:$N$13</c:f>
              <c:numCache>
                <c:formatCode>General</c:formatCode>
                <c:ptCount val="9"/>
                <c:pt idx="0">
                  <c:v>2000</c:v>
                </c:pt>
                <c:pt idx="1">
                  <c:v>2360</c:v>
                </c:pt>
                <c:pt idx="2">
                  <c:v>2900</c:v>
                </c:pt>
                <c:pt idx="3">
                  <c:v>2900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4-43C7-BB76-48FC2584F453}"/>
            </c:ext>
          </c:extLst>
        </c:ser>
        <c:ser>
          <c:idx val="1"/>
          <c:order val="1"/>
          <c:tx>
            <c:v>Weight &amp; Balance Loading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MS Sans Serif"/>
                        <a:ea typeface="MS Sans Serif"/>
                        <a:cs typeface="MS Sans Serif"/>
                      </a:defRPr>
                    </a:pPr>
                    <a:r>
                      <a:rPr lang="en-US"/>
                      <a:t>Empty Wt.</a:t>
                    </a:r>
                  </a:p>
                </c:rich>
              </c:tx>
              <c:spPr>
                <a:noFill/>
                <a:ln w="12700">
                  <a:solidFill>
                    <a:srgbClr val="000000"/>
                  </a:solidFill>
                  <a:prstDash val="solid"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414-43C7-BB76-48FC2584F4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MS Sans Serif"/>
                        <a:ea typeface="MS Sans Serif"/>
                        <a:cs typeface="MS Sans Serif"/>
                      </a:defRPr>
                    </a:pPr>
                    <a:r>
                      <a:rPr lang="en-US"/>
                      <a:t>Full Load Fuel Empty</a:t>
                    </a:r>
                  </a:p>
                </c:rich>
              </c:tx>
              <c:spPr>
                <a:noFill/>
                <a:ln w="12700">
                  <a:solidFill>
                    <a:srgbClr val="000000"/>
                  </a:solidFill>
                  <a:prstDash val="solid"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414-43C7-BB76-48FC2584F4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MS Sans Serif"/>
                        <a:ea typeface="MS Sans Serif"/>
                        <a:cs typeface="MS Sans Serif"/>
                      </a:defRPr>
                    </a:pPr>
                    <a:r>
                      <a:rPr lang="en-US"/>
                      <a:t>Fully Loaded</a:t>
                    </a:r>
                  </a:p>
                </c:rich>
              </c:tx>
              <c:spPr>
                <a:noFill/>
                <a:ln w="12700">
                  <a:solidFill>
                    <a:srgbClr val="000000"/>
                  </a:solidFill>
                  <a:prstDash val="solid"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414-43C7-BB76-48FC2584F4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'WT&amp;BAL'!$Q$5:$Q$13</c:f>
              <c:numCache>
                <c:formatCode>0.0000</c:formatCode>
                <c:ptCount val="9"/>
                <c:pt idx="0">
                  <c:v>44.195</c:v>
                </c:pt>
                <c:pt idx="1">
                  <c:v>43.358250805502273</c:v>
                </c:pt>
                <c:pt idx="2">
                  <c:v>43.358250805502273</c:v>
                </c:pt>
                <c:pt idx="3">
                  <c:v>43.358250805502273</c:v>
                </c:pt>
                <c:pt idx="4">
                  <c:v>43.358250805502273</c:v>
                </c:pt>
                <c:pt idx="5">
                  <c:v>44.55295134290467</c:v>
                </c:pt>
                <c:pt idx="6">
                  <c:v>44.723138587515606</c:v>
                </c:pt>
                <c:pt idx="7">
                  <c:v>44.723138587515606</c:v>
                </c:pt>
                <c:pt idx="8">
                  <c:v>45.387331898167609</c:v>
                </c:pt>
              </c:numCache>
            </c:numRef>
          </c:xVal>
          <c:yVal>
            <c:numRef>
              <c:f>'WT&amp;BAL'!$R$5:$R$13</c:f>
              <c:numCache>
                <c:formatCode>0.0</c:formatCode>
                <c:ptCount val="9"/>
                <c:pt idx="0">
                  <c:v>1957.21</c:v>
                </c:pt>
                <c:pt idx="1">
                  <c:v>2132.21</c:v>
                </c:pt>
                <c:pt idx="2">
                  <c:v>2132.21</c:v>
                </c:pt>
                <c:pt idx="3">
                  <c:v>2132.21</c:v>
                </c:pt>
                <c:pt idx="4">
                  <c:v>2132.21</c:v>
                </c:pt>
                <c:pt idx="5">
                  <c:v>2182.21</c:v>
                </c:pt>
                <c:pt idx="6">
                  <c:v>2187.21</c:v>
                </c:pt>
                <c:pt idx="7">
                  <c:v>2187.21</c:v>
                </c:pt>
                <c:pt idx="8">
                  <c:v>2640.81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4-43C7-BB76-48FC2584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5768"/>
        <c:axId val="1"/>
      </c:scatterChart>
      <c:valAx>
        <c:axId val="112985768"/>
        <c:scaling>
          <c:orientation val="minMax"/>
          <c:max val="5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Aircraft CG Location (inches aft of datum)</a:t>
                </a:r>
              </a:p>
            </c:rich>
          </c:tx>
          <c:layout>
            <c:manualLayout>
              <c:xMode val="edge"/>
              <c:yMode val="edge"/>
              <c:x val="0.23140558121766641"/>
              <c:y val="0.92444645062163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zh-CN"/>
          </a:p>
        </c:txPr>
        <c:crossAx val="1"/>
        <c:crossesAt val="2000"/>
        <c:crossBetween val="midCat"/>
        <c:majorUnit val="1"/>
        <c:minorUnit val="0.5"/>
      </c:valAx>
      <c:valAx>
        <c:axId val="1"/>
        <c:scaling>
          <c:orientation val="minMax"/>
          <c:max val="3000"/>
          <c:min val="20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Loaded Aircraft Weight (pounds)</a:t>
                </a:r>
              </a:p>
            </c:rich>
          </c:tx>
          <c:layout>
            <c:manualLayout>
              <c:xMode val="edge"/>
              <c:yMode val="edge"/>
              <c:x val="4.6832081913099156E-2"/>
              <c:y val="0.30000065104307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zh-CN"/>
          </a:p>
        </c:txPr>
        <c:crossAx val="112985768"/>
        <c:crossesAt val="40"/>
        <c:crossBetween val="midCat"/>
        <c:majorUnit val="100"/>
        <c:minorUnit val="5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zh-CN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verticalDpi="-4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38100</xdr:rowOff>
    </xdr:from>
    <xdr:to>
      <xdr:col>6</xdr:col>
      <xdr:colOff>19050</xdr:colOff>
      <xdr:row>6</xdr:row>
      <xdr:rowOff>95250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273E6827-83AB-4B77-851F-A116472BCCA1}"/>
            </a:ext>
          </a:extLst>
        </xdr:cNvPr>
        <xdr:cNvSpPr txBox="1">
          <a:spLocks noChangeArrowheads="1"/>
        </xdr:cNvSpPr>
      </xdr:nvSpPr>
      <xdr:spPr bwMode="auto">
        <a:xfrm>
          <a:off x="9525" y="361950"/>
          <a:ext cx="4191000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Instructions: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        1.  Enter Pilot and Copilot position and weights.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        2.  Enter weights of rear passengers, baggage &amp; hat rack, or cargo.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        3.  Enter loaded fuel in gallons.</a:t>
          </a:r>
        </a:p>
      </xdr:txBody>
    </xdr:sp>
    <xdr:clientData/>
  </xdr:twoCellAnchor>
  <xdr:twoCellAnchor>
    <xdr:from>
      <xdr:col>6</xdr:col>
      <xdr:colOff>76200</xdr:colOff>
      <xdr:row>2</xdr:row>
      <xdr:rowOff>38100</xdr:rowOff>
    </xdr:from>
    <xdr:to>
      <xdr:col>11</xdr:col>
      <xdr:colOff>485775</xdr:colOff>
      <xdr:row>28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E333F6C-33DE-4BE4-9964-C6198D5A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showGridLines="0" showRowColHeaders="0" tabSelected="1" workbookViewId="0">
      <selection activeCell="A2" sqref="A2"/>
    </sheetView>
  </sheetViews>
  <sheetFormatPr baseColWidth="10" defaultColWidth="9.19921875" defaultRowHeight="13"/>
  <cols>
    <col min="1" max="1" width="27.796875" style="4" customWidth="1"/>
    <col min="2" max="2" width="5.19921875" style="4" customWidth="1"/>
    <col min="3" max="3" width="7.19921875" style="4" customWidth="1"/>
    <col min="4" max="4" width="7" style="4" customWidth="1"/>
    <col min="5" max="5" width="9.19921875" style="4"/>
    <col min="6" max="6" width="6.19921875" style="4" customWidth="1"/>
    <col min="7" max="19" width="9.19921875" style="4"/>
    <col min="20" max="20" width="9.796875" style="4" customWidth="1"/>
    <col min="21" max="16384" width="9.19921875" style="4"/>
  </cols>
  <sheetData>
    <row r="1" spans="1:22">
      <c r="A1" s="1" t="s">
        <v>34</v>
      </c>
      <c r="B1" s="2"/>
      <c r="C1" s="3"/>
      <c r="D1" s="3"/>
      <c r="E1" s="3"/>
      <c r="F1" s="3"/>
    </row>
    <row r="2" spans="1:22">
      <c r="A2" s="1"/>
      <c r="B2" s="2"/>
      <c r="C2" s="3"/>
      <c r="D2" s="3"/>
      <c r="E2" s="3"/>
      <c r="F2" s="3"/>
    </row>
    <row r="3" spans="1:22">
      <c r="A3" s="5"/>
      <c r="B3" s="6"/>
      <c r="M3" s="7" t="s">
        <v>0</v>
      </c>
      <c r="N3" s="7"/>
      <c r="O3" s="2"/>
      <c r="Q3" s="7" t="s">
        <v>1</v>
      </c>
      <c r="R3" s="7"/>
    </row>
    <row r="4" spans="1:22">
      <c r="A4" s="8"/>
      <c r="B4" s="6"/>
      <c r="M4" s="4" t="s">
        <v>2</v>
      </c>
      <c r="N4" s="4" t="s">
        <v>3</v>
      </c>
      <c r="P4" s="4" t="s">
        <v>2</v>
      </c>
      <c r="Q4" s="4" t="s">
        <v>4</v>
      </c>
      <c r="R4" s="4" t="s">
        <v>5</v>
      </c>
      <c r="S4" s="4" t="s">
        <v>3</v>
      </c>
      <c r="U4" s="4" t="s">
        <v>6</v>
      </c>
      <c r="V4" s="4" t="s">
        <v>7</v>
      </c>
    </row>
    <row r="5" spans="1:22">
      <c r="A5" s="9"/>
      <c r="M5" s="4">
        <v>40.6</v>
      </c>
      <c r="N5" s="4">
        <v>2000</v>
      </c>
      <c r="P5" s="10">
        <f t="shared" ref="P5:P11" si="0">D10</f>
        <v>44.195</v>
      </c>
      <c r="Q5" s="11">
        <f t="shared" ref="Q5:Q13" si="1">V5/R5</f>
        <v>44.195</v>
      </c>
      <c r="R5" s="12">
        <f>S5</f>
        <v>1957.21</v>
      </c>
      <c r="S5" s="12">
        <f>C10</f>
        <v>1957.21</v>
      </c>
      <c r="T5" s="4" t="s">
        <v>8</v>
      </c>
      <c r="U5" s="4">
        <f t="shared" ref="U5:U13" si="2">S5*P5</f>
        <v>86498.895950000006</v>
      </c>
      <c r="V5" s="4">
        <f>U5</f>
        <v>86498.895950000006</v>
      </c>
    </row>
    <row r="6" spans="1:22">
      <c r="A6" s="4" t="s">
        <v>9</v>
      </c>
      <c r="M6" s="4">
        <v>40.6</v>
      </c>
      <c r="N6" s="4">
        <v>2360</v>
      </c>
      <c r="P6" s="10">
        <f t="shared" si="0"/>
        <v>34</v>
      </c>
      <c r="Q6" s="11">
        <f t="shared" si="1"/>
        <v>43.358250805502273</v>
      </c>
      <c r="R6" s="12">
        <f t="shared" ref="R6:R13" si="3">R5+S6</f>
        <v>2132.21</v>
      </c>
      <c r="S6" s="12">
        <f>C11</f>
        <v>175</v>
      </c>
      <c r="T6" s="4" t="s">
        <v>10</v>
      </c>
      <c r="U6" s="4">
        <f t="shared" si="2"/>
        <v>5950</v>
      </c>
      <c r="V6" s="4">
        <f t="shared" ref="V6:V13" si="4">V5+U6</f>
        <v>92448.895950000006</v>
      </c>
    </row>
    <row r="7" spans="1:22">
      <c r="A7" s="4" t="s">
        <v>9</v>
      </c>
      <c r="M7" s="4">
        <v>43.5</v>
      </c>
      <c r="N7" s="4">
        <v>2900</v>
      </c>
      <c r="P7" s="10">
        <f t="shared" si="0"/>
        <v>36.5</v>
      </c>
      <c r="Q7" s="11">
        <f t="shared" si="1"/>
        <v>43.358250805502273</v>
      </c>
      <c r="R7" s="12">
        <f t="shared" si="3"/>
        <v>2132.21</v>
      </c>
      <c r="S7" s="12">
        <f>IF(C12=" ",0,C12)</f>
        <v>0</v>
      </c>
      <c r="T7" s="4" t="s">
        <v>11</v>
      </c>
      <c r="U7" s="4">
        <f t="shared" si="2"/>
        <v>0</v>
      </c>
      <c r="V7" s="4">
        <f t="shared" si="4"/>
        <v>92448.895950000006</v>
      </c>
    </row>
    <row r="8" spans="1:22">
      <c r="M8" s="4">
        <v>49.3</v>
      </c>
      <c r="N8" s="4">
        <v>2900</v>
      </c>
      <c r="P8" s="10">
        <f t="shared" si="0"/>
        <v>70.7</v>
      </c>
      <c r="Q8" s="11">
        <f t="shared" si="1"/>
        <v>43.358250805502273</v>
      </c>
      <c r="R8" s="12">
        <f t="shared" si="3"/>
        <v>2132.21</v>
      </c>
      <c r="S8" s="12">
        <f>IF(C13=" ",IF(C17=" ",0,C17),C13)</f>
        <v>0</v>
      </c>
      <c r="T8" s="4" t="s">
        <v>12</v>
      </c>
      <c r="U8" s="4">
        <f t="shared" si="2"/>
        <v>0</v>
      </c>
      <c r="V8" s="4">
        <f t="shared" si="4"/>
        <v>92448.895950000006</v>
      </c>
    </row>
    <row r="9" spans="1:22" ht="14" thickBot="1">
      <c r="C9" s="26" t="s">
        <v>3</v>
      </c>
      <c r="D9" s="26" t="s">
        <v>13</v>
      </c>
      <c r="E9" s="26" t="s">
        <v>14</v>
      </c>
      <c r="F9" s="26" t="s">
        <v>2</v>
      </c>
      <c r="M9" s="4">
        <v>49.3</v>
      </c>
      <c r="N9" s="4">
        <v>2000</v>
      </c>
      <c r="P9" s="10">
        <f t="shared" si="0"/>
        <v>70.7</v>
      </c>
      <c r="Q9" s="11">
        <f t="shared" si="1"/>
        <v>43.358250805502273</v>
      </c>
      <c r="R9" s="12">
        <f t="shared" si="3"/>
        <v>2132.21</v>
      </c>
      <c r="S9" s="12">
        <f>IF(C14=" ",0,C14)</f>
        <v>0</v>
      </c>
      <c r="T9" s="4" t="s">
        <v>15</v>
      </c>
      <c r="U9" s="4">
        <f t="shared" si="2"/>
        <v>0</v>
      </c>
      <c r="V9" s="4">
        <f t="shared" si="4"/>
        <v>92448.895950000006</v>
      </c>
    </row>
    <row r="10" spans="1:22" ht="14" thickBot="1">
      <c r="A10" s="4" t="s">
        <v>33</v>
      </c>
      <c r="B10" s="14"/>
      <c r="C10" s="12">
        <v>1957.21</v>
      </c>
      <c r="D10" s="10">
        <v>44.195</v>
      </c>
      <c r="E10" s="10">
        <f>C10*D10</f>
        <v>86498.895950000006</v>
      </c>
      <c r="M10" s="4">
        <v>40.6</v>
      </c>
      <c r="N10" s="4">
        <v>2000</v>
      </c>
      <c r="P10" s="10">
        <f t="shared" si="0"/>
        <v>95.5</v>
      </c>
      <c r="Q10" s="11">
        <f t="shared" si="1"/>
        <v>44.55295134290467</v>
      </c>
      <c r="R10" s="12">
        <f t="shared" si="3"/>
        <v>2182.21</v>
      </c>
      <c r="S10" s="12">
        <f>IF(C15=" ",0,C15)</f>
        <v>50</v>
      </c>
      <c r="T10" s="4" t="s">
        <v>16</v>
      </c>
      <c r="U10" s="4">
        <f t="shared" si="2"/>
        <v>4775</v>
      </c>
      <c r="V10" s="4">
        <f t="shared" si="4"/>
        <v>97223.895950000006</v>
      </c>
    </row>
    <row r="11" spans="1:22">
      <c r="A11" s="4" t="s">
        <v>17</v>
      </c>
      <c r="B11" s="27">
        <v>1</v>
      </c>
      <c r="C11" s="30">
        <v>175</v>
      </c>
      <c r="D11" s="10">
        <f>IF(B11=1,34,IF(B11=2,36.5,IF(B11=3,39,"error")))</f>
        <v>34</v>
      </c>
      <c r="E11" s="10">
        <f>C11*D11</f>
        <v>5950</v>
      </c>
      <c r="M11" s="4">
        <v>40.6</v>
      </c>
      <c r="N11" s="4">
        <v>2000</v>
      </c>
      <c r="P11" s="10">
        <f t="shared" si="0"/>
        <v>119</v>
      </c>
      <c r="Q11" s="11">
        <f t="shared" si="1"/>
        <v>44.723138587515606</v>
      </c>
      <c r="R11" s="12">
        <f t="shared" si="3"/>
        <v>2187.21</v>
      </c>
      <c r="S11" s="12">
        <f>IF(C16=" ",0,C16)</f>
        <v>5</v>
      </c>
      <c r="T11" s="4" t="s">
        <v>18</v>
      </c>
      <c r="U11" s="4">
        <f t="shared" si="2"/>
        <v>595</v>
      </c>
      <c r="V11" s="4">
        <f t="shared" si="4"/>
        <v>97818.895950000006</v>
      </c>
    </row>
    <row r="12" spans="1:22" ht="14" thickBot="1">
      <c r="A12" s="4" t="s">
        <v>19</v>
      </c>
      <c r="B12" s="28">
        <v>2</v>
      </c>
      <c r="C12" s="31">
        <v>0</v>
      </c>
      <c r="D12" s="10">
        <f>IF(B12=1,34,IF(B12=2,36.5,IF(B12=3,39,"error")))</f>
        <v>36.5</v>
      </c>
      <c r="E12" s="10">
        <f t="shared" ref="E12:E17" si="5">IF(C12=" ",0,C12*D12)</f>
        <v>0</v>
      </c>
      <c r="M12" s="4">
        <v>40.6</v>
      </c>
      <c r="N12" s="4">
        <v>2000</v>
      </c>
      <c r="P12" s="10">
        <f>D18</f>
        <v>48.59</v>
      </c>
      <c r="Q12" s="11">
        <f t="shared" si="1"/>
        <v>44.723138587515606</v>
      </c>
      <c r="R12" s="12">
        <f t="shared" si="3"/>
        <v>2187.21</v>
      </c>
      <c r="S12" s="4">
        <v>0</v>
      </c>
      <c r="T12" s="4" t="s">
        <v>20</v>
      </c>
      <c r="U12" s="4">
        <f t="shared" si="2"/>
        <v>0</v>
      </c>
      <c r="V12" s="4">
        <f t="shared" si="4"/>
        <v>97818.895950000006</v>
      </c>
    </row>
    <row r="13" spans="1:22">
      <c r="A13" s="4" t="s">
        <v>21</v>
      </c>
      <c r="B13" s="14"/>
      <c r="C13" s="32">
        <v>0</v>
      </c>
      <c r="D13" s="10">
        <v>70.7</v>
      </c>
      <c r="E13" s="10">
        <f t="shared" si="5"/>
        <v>0</v>
      </c>
      <c r="M13" s="4">
        <v>40.6</v>
      </c>
      <c r="N13" s="4">
        <v>2000</v>
      </c>
      <c r="P13" s="10">
        <f>D18</f>
        <v>48.59</v>
      </c>
      <c r="Q13" s="11">
        <f t="shared" si="1"/>
        <v>45.387331898167609</v>
      </c>
      <c r="R13" s="12">
        <f t="shared" si="3"/>
        <v>2640.81</v>
      </c>
      <c r="S13" s="12">
        <f>C18</f>
        <v>453.59999999999997</v>
      </c>
      <c r="T13" s="4" t="s">
        <v>22</v>
      </c>
      <c r="U13" s="4">
        <f t="shared" si="2"/>
        <v>22040.423999999999</v>
      </c>
      <c r="V13" s="4">
        <f t="shared" si="4"/>
        <v>119859.31995</v>
      </c>
    </row>
    <row r="14" spans="1:22">
      <c r="A14" s="4" t="s">
        <v>23</v>
      </c>
      <c r="B14" s="14"/>
      <c r="C14" s="32">
        <v>0</v>
      </c>
      <c r="D14" s="10">
        <v>70.7</v>
      </c>
      <c r="E14" s="10">
        <f t="shared" si="5"/>
        <v>0</v>
      </c>
    </row>
    <row r="15" spans="1:22">
      <c r="A15" s="4" t="s">
        <v>24</v>
      </c>
      <c r="B15" s="14"/>
      <c r="C15" s="32">
        <v>50</v>
      </c>
      <c r="D15" s="10">
        <v>95.5</v>
      </c>
      <c r="E15" s="10">
        <f t="shared" si="5"/>
        <v>4775</v>
      </c>
    </row>
    <row r="16" spans="1:22">
      <c r="A16" s="4" t="s">
        <v>25</v>
      </c>
      <c r="B16" s="14"/>
      <c r="C16" s="32">
        <v>5</v>
      </c>
      <c r="D16" s="10">
        <v>119</v>
      </c>
      <c r="E16" s="10">
        <f t="shared" si="5"/>
        <v>595</v>
      </c>
    </row>
    <row r="17" spans="1:6" ht="14" thickBot="1">
      <c r="A17" s="4" t="s">
        <v>26</v>
      </c>
      <c r="B17" s="14"/>
      <c r="C17" s="33" t="s">
        <v>9</v>
      </c>
      <c r="D17" s="10">
        <v>70.7</v>
      </c>
      <c r="E17" s="10">
        <f t="shared" si="5"/>
        <v>0</v>
      </c>
    </row>
    <row r="18" spans="1:6" ht="14" thickBot="1">
      <c r="A18" s="13" t="s">
        <v>27</v>
      </c>
      <c r="B18" s="29">
        <v>75.599999999999994</v>
      </c>
      <c r="C18" s="15">
        <f>B18*6</f>
        <v>453.59999999999997</v>
      </c>
      <c r="D18" s="16">
        <v>48.59</v>
      </c>
      <c r="E18" s="16">
        <f>C18*D18</f>
        <v>22040.423999999999</v>
      </c>
      <c r="F18" s="13"/>
    </row>
    <row r="19" spans="1:6">
      <c r="A19" s="4" t="s">
        <v>28</v>
      </c>
      <c r="C19" s="12">
        <f>SUM(C10:C18)</f>
        <v>2640.81</v>
      </c>
      <c r="D19" s="12">
        <f>SUM(D10:D18)</f>
        <v>589.88499999999999</v>
      </c>
      <c r="E19" s="12">
        <f>SUM(E10:E18)</f>
        <v>119859.31995</v>
      </c>
      <c r="F19" s="10">
        <f>E19/C19</f>
        <v>45.387331898167609</v>
      </c>
    </row>
    <row r="20" spans="1:6">
      <c r="C20" s="12"/>
      <c r="D20" s="10"/>
      <c r="E20" s="10"/>
      <c r="F20" s="10"/>
    </row>
    <row r="21" spans="1:6">
      <c r="A21"/>
      <c r="B21"/>
      <c r="C21" s="12"/>
      <c r="D21" s="4" t="s">
        <v>29</v>
      </c>
      <c r="E21" s="10"/>
      <c r="F21" s="10">
        <v>49.3</v>
      </c>
    </row>
    <row r="22" spans="1:6">
      <c r="D22" s="4" t="s">
        <v>30</v>
      </c>
      <c r="F22" s="10">
        <f>IF(C19&lt;=2360,40.6,5200*2.9/540+2.9*C19/540)</f>
        <v>42.108053703703703</v>
      </c>
    </row>
    <row r="23" spans="1:6" ht="14" thickBot="1">
      <c r="A23" s="17" t="s">
        <v>31</v>
      </c>
      <c r="B23" s="6"/>
    </row>
    <row r="24" spans="1:6" ht="14" thickTop="1">
      <c r="A24" s="18" t="str">
        <f>IF(C19&gt;2900,"Gross Weight Exceeded"," ")</f>
        <v xml:space="preserve"> </v>
      </c>
      <c r="B24" s="19"/>
      <c r="D24" s="4" t="s">
        <v>32</v>
      </c>
    </row>
    <row r="25" spans="1:6" ht="14" thickBot="1">
      <c r="A25" s="20" t="str">
        <f>IF(C15=" "," ",IF(C15&gt;120,"Baggage Weight Exceeds Limit"," " ))</f>
        <v xml:space="preserve"> </v>
      </c>
      <c r="B25" s="21"/>
    </row>
    <row r="26" spans="1:6" ht="15" thickTop="1" thickBot="1">
      <c r="A26" s="20" t="str">
        <f>IF(C16=" "," ",IF(C16&gt;10,"Hat Rack Weight Exceeds Limit"," " ))</f>
        <v xml:space="preserve"> </v>
      </c>
      <c r="B26" s="21"/>
      <c r="D26" s="24" t="str">
        <f>IF(A24=" ",IF(A25=" ",IF(A26=" ",IF(A27=" ",IF(A28=" ","SAFE","UNSAFE"),"UNSAFE"),"UNSAFE"),"UNSAFE"),"UNSAFE")</f>
        <v>SAFE</v>
      </c>
      <c r="E26" s="25"/>
    </row>
    <row r="27" spans="1:6" ht="14" thickTop="1">
      <c r="A27" s="20" t="str">
        <f>IF(F19&gt;49.3,"Aft CG Exceeds Limit"," ")</f>
        <v xml:space="preserve"> </v>
      </c>
      <c r="B27" s="21"/>
    </row>
    <row r="28" spans="1:6" ht="14" thickBot="1">
      <c r="A28" s="22" t="str">
        <f>IF(AND(C19&lt;=2360,F19&lt;40.6),"Forward CG Limit Exceeded",IF(AND(C19&gt;2360,F19&lt;(5200*2.9/540+2.9*C19/540)),"Forward CG Limit Exceeded"," "))</f>
        <v xml:space="preserve"> </v>
      </c>
      <c r="B28" s="23"/>
    </row>
    <row r="29" spans="1:6" ht="14" thickTop="1">
      <c r="C29" s="4" t="s">
        <v>9</v>
      </c>
    </row>
  </sheetData>
  <phoneticPr fontId="5" type="noConversion"/>
  <printOptions horizontalCentered="1"/>
  <pageMargins left="0.5" right="0.5" top="1" bottom="1" header="0.5" footer="0.5"/>
  <pageSetup orientation="landscape" verticalDpi="4294967292" r:id="rId1"/>
  <headerFooter alignWithMargins="0">
    <oddHeader>&amp;C&amp;D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WT&amp;BAL</vt:lpstr>
      <vt:lpstr>'WT&amp;BAL'!Print_Area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2005-11-22T03:50:46Z</cp:lastPrinted>
  <dcterms:created xsi:type="dcterms:W3CDTF">1998-09-02T04:31:37Z</dcterms:created>
  <dcterms:modified xsi:type="dcterms:W3CDTF">2021-05-08T03:07:45Z</dcterms:modified>
</cp:coreProperties>
</file>