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F:\CR_oscillation_circuit\experiments\"/>
    </mc:Choice>
  </mc:AlternateContent>
  <xr:revisionPtr revIDLastSave="0" documentId="13_ncr:1_{6EAC3D9B-55F0-4A40-AAFD-70BC7692E32B}" xr6:coauthVersionLast="41" xr6:coauthVersionMax="41" xr10:uidLastSave="{00000000-0000-0000-0000-000000000000}"/>
  <bookViews>
    <workbookView xWindow="-27990" yWindow="-6135" windowWidth="28110" windowHeight="16440" activeTab="5" xr2:uid="{00000000-000D-0000-FFFF-FFFF00000000}"/>
  </bookViews>
  <sheets>
    <sheet name="グラフ1" sheetId="5" r:id="rId1"/>
    <sheet name="実験1" sheetId="1" r:id="rId2"/>
    <sheet name="実験2" sheetId="4" r:id="rId3"/>
    <sheet name="実験3" sheetId="2" r:id="rId4"/>
    <sheet name="実験1 (2)" sheetId="6" r:id="rId5"/>
    <sheet name="実験3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7" l="1"/>
  <c r="D7" i="7" s="1"/>
  <c r="A6" i="7"/>
  <c r="D6" i="7" s="1"/>
  <c r="B5" i="7"/>
  <c r="A5" i="7"/>
  <c r="D5" i="7" s="1"/>
  <c r="A4" i="7"/>
  <c r="D4" i="7" s="1"/>
  <c r="A3" i="7"/>
  <c r="D3" i="7" s="1"/>
  <c r="D2" i="7"/>
  <c r="A2" i="7"/>
  <c r="G13" i="6"/>
  <c r="D13" i="6"/>
  <c r="B13" i="6"/>
  <c r="G12" i="6"/>
  <c r="D12" i="6"/>
  <c r="B12" i="6"/>
  <c r="I12" i="6" s="1"/>
  <c r="H12" i="6" s="1"/>
  <c r="J12" i="6" s="1"/>
  <c r="G11" i="6"/>
  <c r="D11" i="6"/>
  <c r="B11" i="6"/>
  <c r="I11" i="6" s="1"/>
  <c r="H11" i="6" s="1"/>
  <c r="J11" i="6" s="1"/>
  <c r="G10" i="6"/>
  <c r="D10" i="6"/>
  <c r="B10" i="6"/>
  <c r="G9" i="6"/>
  <c r="D9" i="6"/>
  <c r="B9" i="6"/>
  <c r="G8" i="6"/>
  <c r="D8" i="6"/>
  <c r="B8" i="6"/>
  <c r="I8" i="6" s="1"/>
  <c r="H8" i="6" s="1"/>
  <c r="J8" i="6" s="1"/>
  <c r="G7" i="6"/>
  <c r="D7" i="6"/>
  <c r="B7" i="6"/>
  <c r="I7" i="6" s="1"/>
  <c r="H7" i="6" s="1"/>
  <c r="J7" i="6" s="1"/>
  <c r="G6" i="6"/>
  <c r="D6" i="6"/>
  <c r="B6" i="6"/>
  <c r="G5" i="6"/>
  <c r="E5" i="6"/>
  <c r="D5" i="6"/>
  <c r="B5" i="6"/>
  <c r="I5" i="6" s="1"/>
  <c r="H5" i="6" s="1"/>
  <c r="J5" i="6" s="1"/>
  <c r="I4" i="6"/>
  <c r="H4" i="6" s="1"/>
  <c r="J4" i="6" s="1"/>
  <c r="G4" i="6"/>
  <c r="E4" i="6"/>
  <c r="D4" i="6"/>
  <c r="C4" i="6"/>
  <c r="B4" i="6"/>
  <c r="O3" i="6"/>
  <c r="F13" i="6" s="1"/>
  <c r="I6" i="6" l="1"/>
  <c r="H6" i="6" s="1"/>
  <c r="J6" i="6" s="1"/>
  <c r="I10" i="6"/>
  <c r="H10" i="6" s="1"/>
  <c r="J10" i="6" s="1"/>
  <c r="I9" i="6"/>
  <c r="H9" i="6" s="1"/>
  <c r="J9" i="6" s="1"/>
  <c r="I13" i="6"/>
  <c r="H13" i="6" s="1"/>
  <c r="J13" i="6" s="1"/>
  <c r="K13" i="6"/>
  <c r="F4" i="6"/>
  <c r="K4" i="6" s="1"/>
  <c r="F5" i="6"/>
  <c r="K5" i="6" s="1"/>
  <c r="F6" i="6"/>
  <c r="K6" i="6" s="1"/>
  <c r="F7" i="6"/>
  <c r="K7" i="6" s="1"/>
  <c r="F8" i="6"/>
  <c r="K8" i="6" s="1"/>
  <c r="F9" i="6"/>
  <c r="K9" i="6" s="1"/>
  <c r="F10" i="6"/>
  <c r="K10" i="6" s="1"/>
  <c r="F11" i="6"/>
  <c r="K11" i="6" s="1"/>
  <c r="F12" i="6"/>
  <c r="K12" i="6" s="1"/>
  <c r="B5" i="2"/>
  <c r="E5" i="2" s="1"/>
  <c r="C8" i="2"/>
  <c r="B7" i="2"/>
  <c r="E7" i="2" s="1"/>
  <c r="B6" i="2"/>
  <c r="E6" i="2" s="1"/>
  <c r="B10" i="2"/>
  <c r="E10" i="2" s="1"/>
  <c r="B8" i="2"/>
  <c r="E8" i="2" s="1"/>
  <c r="B9" i="2"/>
  <c r="E9" i="2" s="1"/>
  <c r="H7" i="1" l="1"/>
  <c r="F7" i="1"/>
  <c r="C7" i="1" l="1"/>
  <c r="J7" i="1" s="1"/>
  <c r="I7" i="1" s="1"/>
  <c r="K7" i="1" s="1"/>
  <c r="H16" i="1" l="1"/>
  <c r="H15" i="1"/>
  <c r="H14" i="1"/>
  <c r="H13" i="1"/>
  <c r="H12" i="1"/>
  <c r="H11" i="1"/>
  <c r="H10" i="1"/>
  <c r="H9" i="1"/>
  <c r="H8" i="1"/>
  <c r="F8" i="1"/>
  <c r="D7" i="1"/>
  <c r="E7" i="1" s="1"/>
  <c r="E8" i="1" l="1"/>
  <c r="E9" i="1"/>
  <c r="E10" i="1"/>
  <c r="E11" i="1"/>
  <c r="E12" i="1"/>
  <c r="E13" i="1"/>
  <c r="E14" i="1"/>
  <c r="E15" i="1"/>
  <c r="E16" i="1"/>
  <c r="C15" i="1"/>
  <c r="J15" i="1" s="1"/>
  <c r="I15" i="1" s="1"/>
  <c r="K15" i="1" s="1"/>
  <c r="C16" i="1"/>
  <c r="J16" i="1" s="1"/>
  <c r="I16" i="1" s="1"/>
  <c r="K16" i="1" s="1"/>
  <c r="C8" i="1"/>
  <c r="J8" i="1" s="1"/>
  <c r="I8" i="1" s="1"/>
  <c r="K8" i="1" s="1"/>
  <c r="C9" i="1"/>
  <c r="J9" i="1" s="1"/>
  <c r="I9" i="1" s="1"/>
  <c r="K9" i="1" s="1"/>
  <c r="C10" i="1"/>
  <c r="J10" i="1" s="1"/>
  <c r="I10" i="1" s="1"/>
  <c r="K10" i="1" s="1"/>
  <c r="C11" i="1"/>
  <c r="J11" i="1" s="1"/>
  <c r="I11" i="1" s="1"/>
  <c r="K11" i="1" s="1"/>
  <c r="C12" i="1"/>
  <c r="J12" i="1" s="1"/>
  <c r="I12" i="1" s="1"/>
  <c r="K12" i="1" s="1"/>
  <c r="C13" i="1"/>
  <c r="J13" i="1" s="1"/>
  <c r="I13" i="1" s="1"/>
  <c r="K13" i="1" s="1"/>
  <c r="C14" i="1"/>
  <c r="J14" i="1" s="1"/>
  <c r="I14" i="1" s="1"/>
  <c r="K14" i="1" s="1"/>
  <c r="C2" i="1" l="1"/>
  <c r="G7" i="1" l="1"/>
  <c r="L7" i="1" s="1"/>
  <c r="G11" i="1"/>
  <c r="L11" i="1" s="1"/>
  <c r="G15" i="1"/>
  <c r="L15" i="1" s="1"/>
  <c r="G16" i="1"/>
  <c r="L16" i="1" s="1"/>
  <c r="G10" i="1"/>
  <c r="L10" i="1" s="1"/>
  <c r="G8" i="1"/>
  <c r="L8" i="1" s="1"/>
  <c r="G12" i="1"/>
  <c r="L12" i="1" s="1"/>
  <c r="G14" i="1"/>
  <c r="L14" i="1" s="1"/>
  <c r="G9" i="1"/>
  <c r="L9" i="1" s="1"/>
  <c r="G13" i="1"/>
  <c r="L13" i="1" s="1"/>
</calcChain>
</file>

<file path=xl/sharedStrings.xml><?xml version="1.0" encoding="utf-8"?>
<sst xmlns="http://schemas.openxmlformats.org/spreadsheetml/2006/main" count="59" uniqueCount="28">
  <si>
    <t>f[kHz]</t>
    <phoneticPr fontId="1"/>
  </si>
  <si>
    <t>周期 T[s]</t>
    <rPh sb="0" eb="2">
      <t>シュウキ</t>
    </rPh>
    <phoneticPr fontId="1"/>
  </si>
  <si>
    <t>ei[V]</t>
    <phoneticPr fontId="1"/>
  </si>
  <si>
    <t>Ii[A]</t>
    <phoneticPr fontId="1"/>
  </si>
  <si>
    <t>Io[A]</t>
    <phoneticPr fontId="1"/>
  </si>
  <si>
    <t>位相差</t>
    <rPh sb="0" eb="3">
      <t>イソウサ</t>
    </rPh>
    <phoneticPr fontId="1"/>
  </si>
  <si>
    <t>⊿t</t>
    <phoneticPr fontId="1"/>
  </si>
  <si>
    <t xml:space="preserve">位相差 </t>
  </si>
  <si>
    <t>帰還率β</t>
  </si>
  <si>
    <t>∠Io/Ii</t>
    <phoneticPr fontId="1"/>
  </si>
  <si>
    <t>|Ii/Io|</t>
    <phoneticPr fontId="1"/>
  </si>
  <si>
    <t>Ri=</t>
    <phoneticPr fontId="1"/>
  </si>
  <si>
    <t>C=</t>
    <phoneticPr fontId="1"/>
  </si>
  <si>
    <t>Ω</t>
    <phoneticPr fontId="1"/>
  </si>
  <si>
    <t>F</t>
    <phoneticPr fontId="1"/>
  </si>
  <si>
    <t>-eo[V]</t>
    <phoneticPr fontId="1"/>
  </si>
  <si>
    <t>C[μF]</t>
    <phoneticPr fontId="1"/>
  </si>
  <si>
    <t>R=</t>
    <phoneticPr fontId="1"/>
  </si>
  <si>
    <t>理論値f</t>
    <rPh sb="0" eb="3">
      <t>リロンチ</t>
    </rPh>
    <phoneticPr fontId="1"/>
  </si>
  <si>
    <t>θ[rad]</t>
    <phoneticPr fontId="1"/>
  </si>
  <si>
    <t>peak-peak</t>
    <phoneticPr fontId="1"/>
  </si>
  <si>
    <t>波形をとる</t>
    <rPh sb="0" eb="2">
      <t>ハケイ</t>
    </rPh>
    <phoneticPr fontId="1"/>
  </si>
  <si>
    <t>θ'[rad]</t>
    <phoneticPr fontId="1"/>
  </si>
  <si>
    <t>位相が3.14のとき1kHzならOK</t>
    <rPh sb="0" eb="2">
      <t>イソウ</t>
    </rPh>
    <phoneticPr fontId="1"/>
  </si>
  <si>
    <r>
      <t>e</t>
    </r>
    <r>
      <rPr>
        <sz val="8"/>
        <color theme="1"/>
        <rFont val="游ゴシック"/>
        <family val="3"/>
        <charset val="128"/>
        <scheme val="minor"/>
      </rPr>
      <t>pp</t>
    </r>
    <r>
      <rPr>
        <sz val="11"/>
        <color theme="1"/>
        <rFont val="游ゴシック"/>
        <family val="2"/>
        <charset val="128"/>
        <scheme val="minor"/>
      </rPr>
      <t>[V]</t>
    </r>
    <phoneticPr fontId="1"/>
  </si>
  <si>
    <t>[sec]</t>
    <phoneticPr fontId="1"/>
  </si>
  <si>
    <t>可変</t>
    <rPh sb="0" eb="2">
      <t>カヘン</t>
    </rPh>
    <phoneticPr fontId="1"/>
  </si>
  <si>
    <t>θ'[rad]の式について</t>
    <rPh sb="8" eb="9">
      <t>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</si>
</sst>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.E+00"/>
    <numFmt numFmtId="177" formatCode="0.00000.E+00"/>
    <numFmt numFmtId="178" formatCode="0.E+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176" fontId="0" fillId="0" borderId="7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7" xfId="0" applyNumberFormat="1" applyBorder="1">
      <alignment vertical="center"/>
    </xf>
    <xf numFmtId="178" fontId="0" fillId="0" borderId="3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quotePrefix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8" xfId="0" quotePrefix="1" applyFill="1" applyBorder="1" applyAlignment="1">
      <alignment horizontal="center" vertical="center"/>
    </xf>
    <xf numFmtId="0" fontId="0" fillId="2" borderId="9" xfId="0" quotePrefix="1" applyFill="1" applyBorder="1" applyAlignment="1">
      <alignment horizontal="center" vertical="center"/>
    </xf>
    <xf numFmtId="0" fontId="0" fillId="2" borderId="10" xfId="0" quotePrefix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8" xfId="0" quotePrefix="1" applyFill="1" applyBorder="1" applyAlignment="1">
      <alignment vertical="center"/>
    </xf>
    <xf numFmtId="0" fontId="0" fillId="2" borderId="9" xfId="0" quotePrefix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実験1!$B$7:$B$16</c:f>
              <c:numCache>
                <c:formatCode>General</c:formatCode>
                <c:ptCount val="10"/>
                <c:pt idx="0">
                  <c:v>0.1</c:v>
                </c:pt>
                <c:pt idx="1">
                  <c:v>0.20100000000000001</c:v>
                </c:pt>
                <c:pt idx="2">
                  <c:v>0.504</c:v>
                </c:pt>
                <c:pt idx="3">
                  <c:v>1.008</c:v>
                </c:pt>
                <c:pt idx="4">
                  <c:v>2.0070000000000001</c:v>
                </c:pt>
                <c:pt idx="5">
                  <c:v>5.0679999999999996</c:v>
                </c:pt>
                <c:pt idx="6">
                  <c:v>10.071999999999999</c:v>
                </c:pt>
                <c:pt idx="7">
                  <c:v>20.132000000000001</c:v>
                </c:pt>
                <c:pt idx="8">
                  <c:v>50</c:v>
                </c:pt>
                <c:pt idx="9">
                  <c:v>100.18</c:v>
                </c:pt>
              </c:numCache>
            </c:numRef>
          </c:xVal>
          <c:yVal>
            <c:numRef>
              <c:f>実験1!$L$7:$L$16</c:f>
              <c:numCache>
                <c:formatCode>0.0.E+00</c:formatCode>
                <c:ptCount val="10"/>
                <c:pt idx="0">
                  <c:v>12234504.315219227</c:v>
                </c:pt>
                <c:pt idx="1">
                  <c:v>1655680.675364272</c:v>
                </c:pt>
                <c:pt idx="2">
                  <c:v>124196.70308915791</c:v>
                </c:pt>
                <c:pt idx="3">
                  <c:v>25888.278290098831</c:v>
                </c:pt>
                <c:pt idx="4">
                  <c:v>8178.3723801705</c:v>
                </c:pt>
                <c:pt idx="5">
                  <c:v>2789.2219480199215</c:v>
                </c:pt>
                <c:pt idx="6">
                  <c:v>1584.3972504773324</c:v>
                </c:pt>
                <c:pt idx="7">
                  <c:v>1177.300132542164</c:v>
                </c:pt>
                <c:pt idx="8">
                  <c:v>1034.1805467667616</c:v>
                </c:pt>
                <c:pt idx="9">
                  <c:v>970.16200991541155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7-4C0D-BB09-EA6924B9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1192"/>
        <c:axId val="389042832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実験1!$B$7:$B$16</c:f>
              <c:numCache>
                <c:formatCode>General</c:formatCode>
                <c:ptCount val="10"/>
                <c:pt idx="0">
                  <c:v>0.1</c:v>
                </c:pt>
                <c:pt idx="1">
                  <c:v>0.20100000000000001</c:v>
                </c:pt>
                <c:pt idx="2">
                  <c:v>0.504</c:v>
                </c:pt>
                <c:pt idx="3">
                  <c:v>1.008</c:v>
                </c:pt>
                <c:pt idx="4">
                  <c:v>2.0070000000000001</c:v>
                </c:pt>
                <c:pt idx="5">
                  <c:v>5.0679999999999996</c:v>
                </c:pt>
                <c:pt idx="6">
                  <c:v>10.071999999999999</c:v>
                </c:pt>
                <c:pt idx="7">
                  <c:v>20.132000000000001</c:v>
                </c:pt>
                <c:pt idx="8">
                  <c:v>50</c:v>
                </c:pt>
                <c:pt idx="9">
                  <c:v>100.18</c:v>
                </c:pt>
              </c:numCache>
            </c:numRef>
          </c:xVal>
          <c:yVal>
            <c:numRef>
              <c:f>実験1!$K$7:$K$16</c:f>
              <c:numCache>
                <c:formatCode>General</c:formatCode>
                <c:ptCount val="10"/>
                <c:pt idx="0">
                  <c:v>4.5282916508843281</c:v>
                </c:pt>
                <c:pt idx="1">
                  <c:v>4.2451084890897439</c:v>
                </c:pt>
                <c:pt idx="2">
                  <c:v>3.7623713619391363</c:v>
                </c:pt>
                <c:pt idx="3">
                  <c:v>3.0656917750790633</c:v>
                </c:pt>
                <c:pt idx="4">
                  <c:v>2.4425254563129926</c:v>
                </c:pt>
                <c:pt idx="5">
                  <c:v>1.5280706667060757</c:v>
                </c:pt>
                <c:pt idx="6">
                  <c:v>1.0419029203777477</c:v>
                </c:pt>
                <c:pt idx="7">
                  <c:v>0.66461020905222767</c:v>
                </c:pt>
                <c:pt idx="8">
                  <c:v>0.62831853071795951</c:v>
                </c:pt>
                <c:pt idx="9">
                  <c:v>0.30624245187193289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57-4C0D-BB09-EA6924B9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06656"/>
        <c:axId val="427514856"/>
      </c:scatterChart>
      <c:valAx>
        <c:axId val="389041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f[kHz]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042832"/>
        <c:crosses val="autoZero"/>
        <c:crossBetween val="midCat"/>
      </c:valAx>
      <c:valAx>
        <c:axId val="389042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|Ii/Io|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.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041192"/>
        <c:crosses val="autoZero"/>
        <c:crossBetween val="midCat"/>
      </c:valAx>
      <c:valAx>
        <c:axId val="427514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位相差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06656"/>
        <c:crosses val="max"/>
        <c:crossBetween val="midCat"/>
        <c:majorUnit val="1.57"/>
      </c:valAx>
      <c:valAx>
        <c:axId val="4275066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51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実験1!$B$7:$B$16</c:f>
              <c:numCache>
                <c:formatCode>General</c:formatCode>
                <c:ptCount val="10"/>
                <c:pt idx="0">
                  <c:v>0.1</c:v>
                </c:pt>
                <c:pt idx="1">
                  <c:v>0.20100000000000001</c:v>
                </c:pt>
                <c:pt idx="2">
                  <c:v>0.504</c:v>
                </c:pt>
                <c:pt idx="3">
                  <c:v>1.008</c:v>
                </c:pt>
                <c:pt idx="4">
                  <c:v>2.0070000000000001</c:v>
                </c:pt>
                <c:pt idx="5">
                  <c:v>5.0679999999999996</c:v>
                </c:pt>
                <c:pt idx="6">
                  <c:v>10.071999999999999</c:v>
                </c:pt>
                <c:pt idx="7">
                  <c:v>20.132000000000001</c:v>
                </c:pt>
                <c:pt idx="8">
                  <c:v>50</c:v>
                </c:pt>
                <c:pt idx="9">
                  <c:v>100.18</c:v>
                </c:pt>
              </c:numCache>
            </c:numRef>
          </c:xVal>
          <c:yVal>
            <c:numRef>
              <c:f>実験1!$L$7:$L$16</c:f>
              <c:numCache>
                <c:formatCode>0.0.E+00</c:formatCode>
                <c:ptCount val="10"/>
                <c:pt idx="0">
                  <c:v>12234504.315219227</c:v>
                </c:pt>
                <c:pt idx="1">
                  <c:v>1655680.675364272</c:v>
                </c:pt>
                <c:pt idx="2">
                  <c:v>124196.70308915791</c:v>
                </c:pt>
                <c:pt idx="3">
                  <c:v>25888.278290098831</c:v>
                </c:pt>
                <c:pt idx="4">
                  <c:v>8178.3723801705</c:v>
                </c:pt>
                <c:pt idx="5">
                  <c:v>2789.2219480199215</c:v>
                </c:pt>
                <c:pt idx="6">
                  <c:v>1584.3972504773324</c:v>
                </c:pt>
                <c:pt idx="7">
                  <c:v>1177.300132542164</c:v>
                </c:pt>
                <c:pt idx="8">
                  <c:v>1034.1805467667616</c:v>
                </c:pt>
                <c:pt idx="9">
                  <c:v>970.16200991541155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AF-43C7-AA88-38D9A83A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1192"/>
        <c:axId val="389042832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実験1!$B$7:$B$16</c:f>
              <c:numCache>
                <c:formatCode>General</c:formatCode>
                <c:ptCount val="10"/>
                <c:pt idx="0">
                  <c:v>0.1</c:v>
                </c:pt>
                <c:pt idx="1">
                  <c:v>0.20100000000000001</c:v>
                </c:pt>
                <c:pt idx="2">
                  <c:v>0.504</c:v>
                </c:pt>
                <c:pt idx="3">
                  <c:v>1.008</c:v>
                </c:pt>
                <c:pt idx="4">
                  <c:v>2.0070000000000001</c:v>
                </c:pt>
                <c:pt idx="5">
                  <c:v>5.0679999999999996</c:v>
                </c:pt>
                <c:pt idx="6">
                  <c:v>10.071999999999999</c:v>
                </c:pt>
                <c:pt idx="7">
                  <c:v>20.132000000000001</c:v>
                </c:pt>
                <c:pt idx="8">
                  <c:v>50</c:v>
                </c:pt>
                <c:pt idx="9">
                  <c:v>100.18</c:v>
                </c:pt>
              </c:numCache>
            </c:numRef>
          </c:xVal>
          <c:yVal>
            <c:numRef>
              <c:f>実験1!$K$7:$K$16</c:f>
              <c:numCache>
                <c:formatCode>General</c:formatCode>
                <c:ptCount val="10"/>
                <c:pt idx="0">
                  <c:v>4.5282916508843281</c:v>
                </c:pt>
                <c:pt idx="1">
                  <c:v>4.2451084890897439</c:v>
                </c:pt>
                <c:pt idx="2">
                  <c:v>3.7623713619391363</c:v>
                </c:pt>
                <c:pt idx="3">
                  <c:v>3.0656917750790633</c:v>
                </c:pt>
                <c:pt idx="4">
                  <c:v>2.4425254563129926</c:v>
                </c:pt>
                <c:pt idx="5">
                  <c:v>1.5280706667060757</c:v>
                </c:pt>
                <c:pt idx="6">
                  <c:v>1.0419029203777477</c:v>
                </c:pt>
                <c:pt idx="7">
                  <c:v>0.66461020905222767</c:v>
                </c:pt>
                <c:pt idx="8">
                  <c:v>0.62831853071795951</c:v>
                </c:pt>
                <c:pt idx="9">
                  <c:v>0.30624245187193289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AF-43C7-AA88-38D9A83A6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06656"/>
        <c:axId val="427514856"/>
      </c:scatterChart>
      <c:valAx>
        <c:axId val="389041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f[kHz]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042832"/>
        <c:crosses val="autoZero"/>
        <c:crossBetween val="midCat"/>
      </c:valAx>
      <c:valAx>
        <c:axId val="389042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|Ii/Io|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.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041192"/>
        <c:crosses val="autoZero"/>
        <c:crossBetween val="midCat"/>
      </c:valAx>
      <c:valAx>
        <c:axId val="427514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位相差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06656"/>
        <c:crosses val="max"/>
        <c:crossBetween val="midCat"/>
        <c:majorUnit val="1.57"/>
      </c:valAx>
      <c:valAx>
        <c:axId val="4275066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51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実験3!$B$5:$B$10</c:f>
              <c:numCache>
                <c:formatCode>General</c:formatCode>
                <c:ptCount val="6"/>
                <c:pt idx="0">
                  <c:v>2.1999999999999997E-3</c:v>
                </c:pt>
                <c:pt idx="1">
                  <c:v>4.7000000000000002E-3</c:v>
                </c:pt>
                <c:pt idx="2">
                  <c:v>2.1999999999999999E-2</c:v>
                </c:pt>
                <c:pt idx="3">
                  <c:v>6.7999999999999991E-2</c:v>
                </c:pt>
                <c:pt idx="4">
                  <c:v>9.9999999999999992E-2</c:v>
                </c:pt>
                <c:pt idx="5">
                  <c:v>0.67999999999999994</c:v>
                </c:pt>
              </c:numCache>
            </c:numRef>
          </c:xVal>
          <c:yVal>
            <c:numRef>
              <c:f>実験3!$C$5:$C$10</c:f>
              <c:numCache>
                <c:formatCode>General</c:formatCode>
                <c:ptCount val="6"/>
                <c:pt idx="0">
                  <c:v>16.89</c:v>
                </c:pt>
                <c:pt idx="1">
                  <c:v>8.1969999999999992</c:v>
                </c:pt>
                <c:pt idx="2">
                  <c:v>2.016</c:v>
                </c:pt>
                <c:pt idx="3">
                  <c:v>0.67570000000000008</c:v>
                </c:pt>
                <c:pt idx="4">
                  <c:v>0.45450000000000002</c:v>
                </c:pt>
                <c:pt idx="5">
                  <c:v>7.6920000000000002E-2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6-40AB-9E2D-BDA07A7A00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実験3!$B$5:$B$10</c:f>
              <c:numCache>
                <c:formatCode>General</c:formatCode>
                <c:ptCount val="6"/>
                <c:pt idx="0">
                  <c:v>2.1999999999999997E-3</c:v>
                </c:pt>
                <c:pt idx="1">
                  <c:v>4.7000000000000002E-3</c:v>
                </c:pt>
                <c:pt idx="2">
                  <c:v>2.1999999999999999E-2</c:v>
                </c:pt>
                <c:pt idx="3">
                  <c:v>6.7999999999999991E-2</c:v>
                </c:pt>
                <c:pt idx="4">
                  <c:v>9.9999999999999992E-2</c:v>
                </c:pt>
                <c:pt idx="5">
                  <c:v>0.67999999999999994</c:v>
                </c:pt>
              </c:numCache>
            </c:numRef>
          </c:xVal>
          <c:yVal>
            <c:numRef>
              <c:f>実験3!$E$5:$E$10</c:f>
              <c:numCache>
                <c:formatCode>General</c:formatCode>
                <c:ptCount val="6"/>
                <c:pt idx="0">
                  <c:v>29.533969743699867</c:v>
                </c:pt>
                <c:pt idx="1">
                  <c:v>13.82441136939142</c:v>
                </c:pt>
                <c:pt idx="2">
                  <c:v>2.9533969743699857</c:v>
                </c:pt>
                <c:pt idx="3">
                  <c:v>0.95551078582558391</c:v>
                </c:pt>
                <c:pt idx="4">
                  <c:v>0.64974733436139698</c:v>
                </c:pt>
                <c:pt idx="5">
                  <c:v>9.5551078582558374E-2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76-40AB-9E2D-BDA07A7A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58704"/>
        <c:axId val="44316001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実験3!$B$5:$B$10</c:f>
              <c:numCache>
                <c:formatCode>General</c:formatCode>
                <c:ptCount val="6"/>
                <c:pt idx="0">
                  <c:v>2.1999999999999997E-3</c:v>
                </c:pt>
                <c:pt idx="1">
                  <c:v>4.7000000000000002E-3</c:v>
                </c:pt>
                <c:pt idx="2">
                  <c:v>2.1999999999999999E-2</c:v>
                </c:pt>
                <c:pt idx="3">
                  <c:v>6.7999999999999991E-2</c:v>
                </c:pt>
                <c:pt idx="4">
                  <c:v>9.9999999999999992E-2</c:v>
                </c:pt>
                <c:pt idx="5">
                  <c:v>0.67999999999999994</c:v>
                </c:pt>
              </c:numCache>
            </c:numRef>
          </c:xVal>
          <c:yVal>
            <c:numRef>
              <c:f>実験3!$D$5:$D$10</c:f>
              <c:numCache>
                <c:formatCode>General</c:formatCode>
                <c:ptCount val="6"/>
                <c:pt idx="0">
                  <c:v>7.84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76-40AB-9E2D-BDA07A7A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34432"/>
        <c:axId val="443134104"/>
      </c:scatterChart>
      <c:valAx>
        <c:axId val="443158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C[μF]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160016"/>
        <c:crosses val="autoZero"/>
        <c:crossBetween val="midCat"/>
      </c:valAx>
      <c:valAx>
        <c:axId val="443160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f[kHz]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158704"/>
        <c:crosses val="autoZero"/>
        <c:crossBetween val="midCat"/>
      </c:valAx>
      <c:valAx>
        <c:axId val="443134104"/>
        <c:scaling>
          <c:logBase val="10"/>
          <c:orientation val="minMax"/>
          <c:max val="100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epp[V]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134432"/>
        <c:crosses val="max"/>
        <c:crossBetween val="midCat"/>
      </c:valAx>
      <c:valAx>
        <c:axId val="4431344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13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'実験1 (2)'!$A$4:$A$13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0.20100000000000001</c:v>
                </c:pt>
                <c:pt idx="2">
                  <c:v>0.504</c:v>
                </c:pt>
                <c:pt idx="3">
                  <c:v>1.008</c:v>
                </c:pt>
                <c:pt idx="4">
                  <c:v>2.0070000000000001</c:v>
                </c:pt>
                <c:pt idx="5">
                  <c:v>5.0679999999999996</c:v>
                </c:pt>
                <c:pt idx="6">
                  <c:v>10.071999999999999</c:v>
                </c:pt>
                <c:pt idx="7">
                  <c:v>20.132000000000001</c:v>
                </c:pt>
                <c:pt idx="8">
                  <c:v>50</c:v>
                </c:pt>
                <c:pt idx="9">
                  <c:v>100.18</c:v>
                </c:pt>
              </c:numCache>
            </c:numRef>
          </c:xVal>
          <c:yVal>
            <c:numRef>
              <c:f>'実験1 (2)'!$K$4:$K$13</c:f>
              <c:numCache>
                <c:formatCode>0.0.E+00</c:formatCode>
                <c:ptCount val="10"/>
                <c:pt idx="0">
                  <c:v>12234504.315219227</c:v>
                </c:pt>
                <c:pt idx="1">
                  <c:v>1655680.675364272</c:v>
                </c:pt>
                <c:pt idx="2">
                  <c:v>124196.70308915791</c:v>
                </c:pt>
                <c:pt idx="3">
                  <c:v>25888.278290098831</c:v>
                </c:pt>
                <c:pt idx="4">
                  <c:v>8178.3723801705</c:v>
                </c:pt>
                <c:pt idx="5">
                  <c:v>2789.2219480199215</c:v>
                </c:pt>
                <c:pt idx="6">
                  <c:v>1584.3972504773324</c:v>
                </c:pt>
                <c:pt idx="7">
                  <c:v>1177.300132542164</c:v>
                </c:pt>
                <c:pt idx="8">
                  <c:v>1034.1805467667616</c:v>
                </c:pt>
                <c:pt idx="9">
                  <c:v>970.16200991541155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1-4DEB-BB9C-4A99AE011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1192"/>
        <c:axId val="389042832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'実験1 (2)'!$A$4:$A$13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0.20100000000000001</c:v>
                </c:pt>
                <c:pt idx="2">
                  <c:v>0.504</c:v>
                </c:pt>
                <c:pt idx="3">
                  <c:v>1.008</c:v>
                </c:pt>
                <c:pt idx="4">
                  <c:v>2.0070000000000001</c:v>
                </c:pt>
                <c:pt idx="5">
                  <c:v>5.0679999999999996</c:v>
                </c:pt>
                <c:pt idx="6">
                  <c:v>10.071999999999999</c:v>
                </c:pt>
                <c:pt idx="7">
                  <c:v>20.132000000000001</c:v>
                </c:pt>
                <c:pt idx="8">
                  <c:v>50</c:v>
                </c:pt>
                <c:pt idx="9">
                  <c:v>100.18</c:v>
                </c:pt>
              </c:numCache>
            </c:numRef>
          </c:xVal>
          <c:yVal>
            <c:numRef>
              <c:f>'実験1 (2)'!$J$4:$J$13</c:f>
              <c:numCache>
                <c:formatCode>General</c:formatCode>
                <c:ptCount val="10"/>
                <c:pt idx="0">
                  <c:v>4.5282916508843281</c:v>
                </c:pt>
                <c:pt idx="1">
                  <c:v>4.2451084890897439</c:v>
                </c:pt>
                <c:pt idx="2">
                  <c:v>3.7623713619391363</c:v>
                </c:pt>
                <c:pt idx="3">
                  <c:v>3.0656917750790633</c:v>
                </c:pt>
                <c:pt idx="4">
                  <c:v>2.4425254563129926</c:v>
                </c:pt>
                <c:pt idx="5">
                  <c:v>1.5280706667060757</c:v>
                </c:pt>
                <c:pt idx="6">
                  <c:v>1.0419029203777477</c:v>
                </c:pt>
                <c:pt idx="7">
                  <c:v>0.66461020905222767</c:v>
                </c:pt>
                <c:pt idx="8">
                  <c:v>0.62831853071795951</c:v>
                </c:pt>
                <c:pt idx="9">
                  <c:v>0.30624245187193289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91-4DEB-BB9C-4A99AE011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06656"/>
        <c:axId val="427514856"/>
      </c:scatterChart>
      <c:valAx>
        <c:axId val="389041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f[kHz]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042832"/>
        <c:crosses val="autoZero"/>
        <c:crossBetween val="midCat"/>
      </c:valAx>
      <c:valAx>
        <c:axId val="389042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|Ii/Io|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.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041192"/>
        <c:crosses val="autoZero"/>
        <c:crossBetween val="midCat"/>
      </c:valAx>
      <c:valAx>
        <c:axId val="427514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位相差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06656"/>
        <c:crosses val="max"/>
        <c:crossBetween val="midCat"/>
        <c:majorUnit val="1.57"/>
      </c:valAx>
      <c:valAx>
        <c:axId val="4275066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51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'実験3 (2)'!$A$2:$A$7</c:f>
              <c:numCache>
                <c:formatCode>General</c:formatCode>
                <c:ptCount val="6"/>
                <c:pt idx="0">
                  <c:v>2.1999999999999997E-3</c:v>
                </c:pt>
                <c:pt idx="1">
                  <c:v>4.7000000000000002E-3</c:v>
                </c:pt>
                <c:pt idx="2">
                  <c:v>2.1999999999999999E-2</c:v>
                </c:pt>
                <c:pt idx="3">
                  <c:v>6.7999999999999991E-2</c:v>
                </c:pt>
                <c:pt idx="4">
                  <c:v>9.9999999999999992E-2</c:v>
                </c:pt>
                <c:pt idx="5">
                  <c:v>0.67999999999999994</c:v>
                </c:pt>
              </c:numCache>
            </c:numRef>
          </c:xVal>
          <c:yVal>
            <c:numRef>
              <c:f>'実験3 (2)'!$B$2:$B$7</c:f>
              <c:numCache>
                <c:formatCode>General</c:formatCode>
                <c:ptCount val="6"/>
                <c:pt idx="0">
                  <c:v>16.89</c:v>
                </c:pt>
                <c:pt idx="1">
                  <c:v>8.1969999999999992</c:v>
                </c:pt>
                <c:pt idx="2">
                  <c:v>2.016</c:v>
                </c:pt>
                <c:pt idx="3">
                  <c:v>0.67570000000000008</c:v>
                </c:pt>
                <c:pt idx="4">
                  <c:v>0.45450000000000002</c:v>
                </c:pt>
                <c:pt idx="5">
                  <c:v>7.6920000000000002E-2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C-4B37-9886-1D639A1AFE8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'実験3 (2)'!$A$2:$A$7</c:f>
              <c:numCache>
                <c:formatCode>General</c:formatCode>
                <c:ptCount val="6"/>
                <c:pt idx="0">
                  <c:v>2.1999999999999997E-3</c:v>
                </c:pt>
                <c:pt idx="1">
                  <c:v>4.7000000000000002E-3</c:v>
                </c:pt>
                <c:pt idx="2">
                  <c:v>2.1999999999999999E-2</c:v>
                </c:pt>
                <c:pt idx="3">
                  <c:v>6.7999999999999991E-2</c:v>
                </c:pt>
                <c:pt idx="4">
                  <c:v>9.9999999999999992E-2</c:v>
                </c:pt>
                <c:pt idx="5">
                  <c:v>0.67999999999999994</c:v>
                </c:pt>
              </c:numCache>
            </c:numRef>
          </c:xVal>
          <c:yVal>
            <c:numRef>
              <c:f>'実験3 (2)'!$D$2:$D$7</c:f>
              <c:numCache>
                <c:formatCode>General</c:formatCode>
                <c:ptCount val="6"/>
                <c:pt idx="0">
                  <c:v>29.533969743699867</c:v>
                </c:pt>
                <c:pt idx="1">
                  <c:v>13.82441136939142</c:v>
                </c:pt>
                <c:pt idx="2">
                  <c:v>2.9533969743699857</c:v>
                </c:pt>
                <c:pt idx="3">
                  <c:v>0.95551078582558391</c:v>
                </c:pt>
                <c:pt idx="4">
                  <c:v>0.64974733436139698</c:v>
                </c:pt>
                <c:pt idx="5">
                  <c:v>9.5551078582558374E-2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2C-4B37-9886-1D639A1AF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58704"/>
        <c:axId val="44316001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'実験3 (2)'!$A$2:$A$7</c:f>
              <c:numCache>
                <c:formatCode>General</c:formatCode>
                <c:ptCount val="6"/>
                <c:pt idx="0">
                  <c:v>2.1999999999999997E-3</c:v>
                </c:pt>
                <c:pt idx="1">
                  <c:v>4.7000000000000002E-3</c:v>
                </c:pt>
                <c:pt idx="2">
                  <c:v>2.1999999999999999E-2</c:v>
                </c:pt>
                <c:pt idx="3">
                  <c:v>6.7999999999999991E-2</c:v>
                </c:pt>
                <c:pt idx="4">
                  <c:v>9.9999999999999992E-2</c:v>
                </c:pt>
                <c:pt idx="5">
                  <c:v>0.67999999999999994</c:v>
                </c:pt>
              </c:numCache>
            </c:numRef>
          </c:xVal>
          <c:yVal>
            <c:numRef>
              <c:f>'実験3 (2)'!$C$2:$C$7</c:f>
              <c:numCache>
                <c:formatCode>General</c:formatCode>
                <c:ptCount val="6"/>
                <c:pt idx="0">
                  <c:v>7.84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2C-4B37-9886-1D639A1AF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34432"/>
        <c:axId val="443134104"/>
      </c:scatterChart>
      <c:valAx>
        <c:axId val="4431587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C[μF]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160016"/>
        <c:crosses val="autoZero"/>
        <c:crossBetween val="midCat"/>
      </c:valAx>
      <c:valAx>
        <c:axId val="443160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f[kHz]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158704"/>
        <c:crosses val="autoZero"/>
        <c:crossBetween val="midCat"/>
      </c:valAx>
      <c:valAx>
        <c:axId val="443134104"/>
        <c:scaling>
          <c:logBase val="10"/>
          <c:orientation val="minMax"/>
          <c:max val="100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epp[V]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134432"/>
        <c:crosses val="max"/>
        <c:crossBetween val="midCat"/>
      </c:valAx>
      <c:valAx>
        <c:axId val="4431344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13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D3F108-B7E5-4CD9-83FC-EED5DB2447DD}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996" cy="6292746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A3817E-8C02-43ED-A95C-D2F867E86E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135304</xdr:colOff>
      <xdr:row>17</xdr:row>
      <xdr:rowOff>195630</xdr:rowOff>
    </xdr:from>
    <xdr:to>
      <xdr:col>20</xdr:col>
      <xdr:colOff>163146</xdr:colOff>
      <xdr:row>29</xdr:row>
      <xdr:rowOff>75224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1086826</xdr:colOff>
      <xdr:row>5</xdr:row>
      <xdr:rowOff>97692</xdr:rowOff>
    </xdr:from>
    <xdr:to>
      <xdr:col>18</xdr:col>
      <xdr:colOff>530135</xdr:colOff>
      <xdr:row>13</xdr:row>
      <xdr:rowOff>125883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9422" y="1318846"/>
          <a:ext cx="3265521" cy="1982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3</xdr:row>
      <xdr:rowOff>200025</xdr:rowOff>
    </xdr:from>
    <xdr:to>
      <xdr:col>12</xdr:col>
      <xdr:colOff>280987</xdr:colOff>
      <xdr:row>15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135304</xdr:colOff>
      <xdr:row>17</xdr:row>
      <xdr:rowOff>195630</xdr:rowOff>
    </xdr:from>
    <xdr:to>
      <xdr:col>20</xdr:col>
      <xdr:colOff>163146</xdr:colOff>
      <xdr:row>29</xdr:row>
      <xdr:rowOff>75224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E107DF-E8D5-469A-99B6-B5DD61A0C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1086826</xdr:colOff>
      <xdr:row>5</xdr:row>
      <xdr:rowOff>97692</xdr:rowOff>
    </xdr:from>
    <xdr:to>
      <xdr:col>18</xdr:col>
      <xdr:colOff>530135</xdr:colOff>
      <xdr:row>13</xdr:row>
      <xdr:rowOff>125883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D95116F-955C-405B-A5AB-A4F2C7373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2326" y="1288317"/>
          <a:ext cx="3272359" cy="19331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3</xdr:row>
      <xdr:rowOff>200025</xdr:rowOff>
    </xdr:from>
    <xdr:to>
      <xdr:col>12</xdr:col>
      <xdr:colOff>280987</xdr:colOff>
      <xdr:row>15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7AD5BF-A3B2-4AB4-B621-5685BBCEC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zoomScale="78" zoomScaleNormal="78" workbookViewId="0">
      <selection activeCell="B3" sqref="B3"/>
    </sheetView>
  </sheetViews>
  <sheetFormatPr defaultRowHeight="18.75"/>
  <cols>
    <col min="3" max="3" width="10.875" customWidth="1"/>
    <col min="4" max="4" width="11.625" bestFit="1" customWidth="1"/>
    <col min="7" max="7" width="9.375" bestFit="1" customWidth="1"/>
    <col min="8" max="8" width="11.625" bestFit="1" customWidth="1"/>
    <col min="9" max="9" width="11.625" customWidth="1"/>
    <col min="10" max="10" width="9.375" bestFit="1" customWidth="1"/>
    <col min="14" max="14" width="14.25" bestFit="1" customWidth="1"/>
  </cols>
  <sheetData>
    <row r="1" spans="2:15">
      <c r="B1" s="3" t="s">
        <v>11</v>
      </c>
      <c r="C1" s="4">
        <v>200</v>
      </c>
      <c r="D1" t="s">
        <v>13</v>
      </c>
    </row>
    <row r="2" spans="2:15">
      <c r="B2" s="3" t="s">
        <v>12</v>
      </c>
      <c r="C2" s="5">
        <f>0.068*10^(-6)</f>
        <v>6.8E-8</v>
      </c>
      <c r="D2" t="s">
        <v>14</v>
      </c>
    </row>
    <row r="4" spans="2:15">
      <c r="B4" s="37" t="s">
        <v>0</v>
      </c>
      <c r="C4" s="31" t="s">
        <v>1</v>
      </c>
      <c r="D4" s="37" t="s">
        <v>2</v>
      </c>
      <c r="E4" s="31" t="s">
        <v>3</v>
      </c>
      <c r="F4" s="34" t="s">
        <v>15</v>
      </c>
      <c r="G4" s="31" t="s">
        <v>4</v>
      </c>
      <c r="H4" s="27" t="s">
        <v>5</v>
      </c>
      <c r="I4" s="27"/>
      <c r="J4" s="27"/>
      <c r="K4" s="27"/>
      <c r="L4" s="27"/>
    </row>
    <row r="5" spans="2:15">
      <c r="B5" s="38"/>
      <c r="C5" s="32"/>
      <c r="D5" s="38"/>
      <c r="E5" s="32"/>
      <c r="F5" s="35"/>
      <c r="G5" s="32"/>
      <c r="H5" s="27" t="s">
        <v>6</v>
      </c>
      <c r="I5" s="27"/>
      <c r="J5" s="27"/>
      <c r="K5" s="1" t="s">
        <v>7</v>
      </c>
      <c r="L5" s="1" t="s">
        <v>8</v>
      </c>
      <c r="O5" t="s">
        <v>27</v>
      </c>
    </row>
    <row r="6" spans="2:15">
      <c r="B6" s="39"/>
      <c r="C6" s="33"/>
      <c r="D6" s="39"/>
      <c r="E6" s="33"/>
      <c r="F6" s="36"/>
      <c r="G6" s="33"/>
      <c r="H6" s="8" t="s">
        <v>25</v>
      </c>
      <c r="I6" s="9" t="s">
        <v>19</v>
      </c>
      <c r="J6" s="9" t="s">
        <v>22</v>
      </c>
      <c r="K6" s="1" t="s">
        <v>9</v>
      </c>
      <c r="L6" s="1" t="s">
        <v>10</v>
      </c>
    </row>
    <row r="7" spans="2:15">
      <c r="B7" s="10">
        <v>0.1</v>
      </c>
      <c r="C7" s="10">
        <f>1/(B7*10^3)</f>
        <v>0.01</v>
      </c>
      <c r="D7" s="10">
        <f>3.68</f>
        <v>3.68</v>
      </c>
      <c r="E7" s="10">
        <f>D7/$C$1</f>
        <v>1.84E-2</v>
      </c>
      <c r="F7" s="10">
        <f>35.2*10^-3</f>
        <v>3.5200000000000002E-2</v>
      </c>
      <c r="G7" s="22">
        <f>(2*PI()*B7)*$C$2*(F7)</f>
        <v>1.5039432351265058E-9</v>
      </c>
      <c r="H7" s="19">
        <f>293*10^-6</f>
        <v>2.9299999999999997E-4</v>
      </c>
      <c r="I7" s="19">
        <f>2*PI()-J7</f>
        <v>6.0990879776792246</v>
      </c>
      <c r="J7" s="11">
        <f>2*PI()*(H7/C7)</f>
        <v>0.18409732950036184</v>
      </c>
      <c r="K7" s="16">
        <f>I7-(PI()/2)</f>
        <v>4.5282916508843281</v>
      </c>
      <c r="L7" s="11">
        <f>ABS(E7/G7)</f>
        <v>12234504.315219227</v>
      </c>
      <c r="N7" s="7"/>
    </row>
    <row r="8" spans="2:15">
      <c r="B8" s="12">
        <v>0.20100000000000001</v>
      </c>
      <c r="C8" s="12">
        <f t="shared" ref="C8:C16" si="0">1/(B8*10^3)</f>
        <v>4.9751243781094526E-3</v>
      </c>
      <c r="D8" s="12">
        <v>3.64</v>
      </c>
      <c r="E8" s="12">
        <f t="shared" ref="E8:E16" si="1">D8/$C$1</f>
        <v>1.8200000000000001E-2</v>
      </c>
      <c r="F8" s="12">
        <f>128*10^-3</f>
        <v>0.128</v>
      </c>
      <c r="G8" s="23">
        <f>(2*PI()*B8)*$C$2*(F8)</f>
        <v>1.0992457827651915E-8</v>
      </c>
      <c r="H8" s="20">
        <f>370*10^-6</f>
        <v>3.6999999999999999E-4</v>
      </c>
      <c r="I8" s="20">
        <f t="shared" ref="I8:I16" si="2">2*PI()-J8</f>
        <v>5.8159048158846405</v>
      </c>
      <c r="J8" s="13">
        <f t="shared" ref="J8:J16" si="3">2*PI()*(H8/C8)</f>
        <v>0.46728049129494587</v>
      </c>
      <c r="K8" s="17">
        <f>I8-(PI()/2)</f>
        <v>4.2451084890897439</v>
      </c>
      <c r="L8" s="13">
        <f t="shared" ref="L8:L16" si="4">ABS(E8/G8)</f>
        <v>1655680.675364272</v>
      </c>
      <c r="N8" s="7"/>
    </row>
    <row r="9" spans="2:15">
      <c r="B9" s="12">
        <v>0.504</v>
      </c>
      <c r="C9" s="12">
        <f t="shared" si="0"/>
        <v>1.984126984126984E-3</v>
      </c>
      <c r="D9" s="12">
        <v>3.68</v>
      </c>
      <c r="E9" s="12">
        <f t="shared" si="1"/>
        <v>1.84E-2</v>
      </c>
      <c r="F9" s="12">
        <v>0.68799999999999994</v>
      </c>
      <c r="G9" s="23">
        <f t="shared" ref="G9:G16" si="5">(2*PI()*B9)*$C$2*(F9)</f>
        <v>1.4815208087118923E-7</v>
      </c>
      <c r="H9" s="20">
        <f>300*10^-6</f>
        <v>2.9999999999999997E-4</v>
      </c>
      <c r="I9" s="20">
        <f t="shared" si="2"/>
        <v>5.3331676887340329</v>
      </c>
      <c r="J9" s="13">
        <f t="shared" si="3"/>
        <v>0.95001761844555344</v>
      </c>
      <c r="K9" s="17">
        <f t="shared" ref="K9:K16" si="6">I9-(PI()/2)</f>
        <v>3.7623713619391363</v>
      </c>
      <c r="L9" s="13">
        <f t="shared" si="4"/>
        <v>124196.70308915791</v>
      </c>
      <c r="N9" s="7"/>
    </row>
    <row r="10" spans="2:15">
      <c r="B10" s="12">
        <v>1.008</v>
      </c>
      <c r="C10" s="12">
        <f t="shared" si="0"/>
        <v>9.9206349206349201E-4</v>
      </c>
      <c r="D10" s="12">
        <v>3.88</v>
      </c>
      <c r="E10" s="12">
        <f t="shared" si="1"/>
        <v>1.9400000000000001E-2</v>
      </c>
      <c r="F10" s="12">
        <v>1.74</v>
      </c>
      <c r="G10" s="23">
        <f t="shared" si="5"/>
        <v>7.4937389742985254E-7</v>
      </c>
      <c r="H10" s="20">
        <f>260*10^-6</f>
        <v>2.5999999999999998E-4</v>
      </c>
      <c r="I10" s="20">
        <f t="shared" si="2"/>
        <v>4.6364881018739599</v>
      </c>
      <c r="J10" s="13">
        <f t="shared" si="3"/>
        <v>1.6466972053056259</v>
      </c>
      <c r="K10" s="17">
        <f t="shared" si="6"/>
        <v>3.0656917750790633</v>
      </c>
      <c r="L10" s="13">
        <f t="shared" si="4"/>
        <v>25888.278290098831</v>
      </c>
      <c r="N10" s="7"/>
    </row>
    <row r="11" spans="2:15">
      <c r="B11" s="12">
        <v>2.0070000000000001</v>
      </c>
      <c r="C11" s="12">
        <f t="shared" si="0"/>
        <v>4.9825610363726954E-4</v>
      </c>
      <c r="D11" s="12">
        <v>4.32</v>
      </c>
      <c r="E11" s="12">
        <f t="shared" si="1"/>
        <v>2.1600000000000001E-2</v>
      </c>
      <c r="F11" s="12">
        <v>3.08</v>
      </c>
      <c r="G11" s="23">
        <f t="shared" si="5"/>
        <v>2.641112313786535E-6</v>
      </c>
      <c r="H11" s="20">
        <f>180*10^-6</f>
        <v>1.7999999999999998E-4</v>
      </c>
      <c r="I11" s="20">
        <f t="shared" si="2"/>
        <v>4.0133217831078891</v>
      </c>
      <c r="J11" s="13">
        <f t="shared" si="3"/>
        <v>2.2698635240716971</v>
      </c>
      <c r="K11" s="17">
        <f t="shared" si="6"/>
        <v>2.4425254563129926</v>
      </c>
      <c r="L11" s="13">
        <f t="shared" si="4"/>
        <v>8178.3723801705</v>
      </c>
      <c r="N11" s="7"/>
    </row>
    <row r="12" spans="2:15">
      <c r="B12" s="12">
        <v>5.0679999999999996</v>
      </c>
      <c r="C12" s="12">
        <f t="shared" si="0"/>
        <v>1.973164956590371E-4</v>
      </c>
      <c r="D12" s="12">
        <v>4.88</v>
      </c>
      <c r="E12" s="12">
        <f t="shared" si="1"/>
        <v>2.4399999999999998E-2</v>
      </c>
      <c r="F12" s="12">
        <v>4.04</v>
      </c>
      <c r="G12" s="23">
        <f t="shared" si="5"/>
        <v>8.7479592713378883E-6</v>
      </c>
      <c r="H12" s="20">
        <f>100*10^-6</f>
        <v>9.9999999999999991E-5</v>
      </c>
      <c r="I12" s="20">
        <f t="shared" si="2"/>
        <v>3.0988669935009723</v>
      </c>
      <c r="J12" s="13">
        <f t="shared" si="3"/>
        <v>3.184318313678614</v>
      </c>
      <c r="K12" s="17">
        <f t="shared" si="6"/>
        <v>1.5280706667060757</v>
      </c>
      <c r="L12" s="13">
        <f t="shared" si="4"/>
        <v>2789.2219480199215</v>
      </c>
      <c r="N12" s="7"/>
    </row>
    <row r="13" spans="2:15">
      <c r="B13" s="12">
        <v>10.071999999999999</v>
      </c>
      <c r="C13" s="12">
        <f t="shared" si="0"/>
        <v>9.9285146942017469E-5</v>
      </c>
      <c r="D13" s="12">
        <v>5.4</v>
      </c>
      <c r="E13" s="12">
        <f t="shared" si="1"/>
        <v>2.7000000000000003E-2</v>
      </c>
      <c r="F13" s="12">
        <v>3.96</v>
      </c>
      <c r="G13" s="23">
        <f t="shared" si="5"/>
        <v>1.7041180797218436E-5</v>
      </c>
      <c r="H13" s="20">
        <f>58*10^-6</f>
        <v>5.8E-5</v>
      </c>
      <c r="I13" s="20">
        <f t="shared" si="2"/>
        <v>2.6126992471726442</v>
      </c>
      <c r="J13" s="13">
        <f t="shared" si="3"/>
        <v>3.670486060006942</v>
      </c>
      <c r="K13" s="17">
        <f t="shared" si="6"/>
        <v>1.0419029203777477</v>
      </c>
      <c r="L13" s="13">
        <f t="shared" si="4"/>
        <v>1584.3972504773324</v>
      </c>
      <c r="N13" s="7"/>
    </row>
    <row r="14" spans="2:15">
      <c r="B14" s="12">
        <v>20.132000000000001</v>
      </c>
      <c r="C14" s="12">
        <f t="shared" si="0"/>
        <v>4.9672163719451619E-5</v>
      </c>
      <c r="D14" s="12">
        <v>6.4</v>
      </c>
      <c r="E14" s="12">
        <f t="shared" si="1"/>
        <v>3.2000000000000001E-2</v>
      </c>
      <c r="F14" s="12">
        <v>3.16</v>
      </c>
      <c r="G14" s="23">
        <f t="shared" si="5"/>
        <v>2.7180834449497483E-5</v>
      </c>
      <c r="H14" s="20">
        <f>32*10^-6</f>
        <v>3.1999999999999999E-5</v>
      </c>
      <c r="I14" s="20">
        <f t="shared" si="2"/>
        <v>2.2354065358471242</v>
      </c>
      <c r="J14" s="13">
        <f t="shared" si="3"/>
        <v>4.047778771332462</v>
      </c>
      <c r="K14" s="17">
        <f t="shared" si="6"/>
        <v>0.66461020905222767</v>
      </c>
      <c r="L14" s="13">
        <f t="shared" si="4"/>
        <v>1177.300132542164</v>
      </c>
      <c r="N14" s="7"/>
    </row>
    <row r="15" spans="2:15">
      <c r="B15" s="12">
        <v>50</v>
      </c>
      <c r="C15" s="12">
        <f>1/(B15*10^3)</f>
        <v>2.0000000000000002E-5</v>
      </c>
      <c r="D15" s="12">
        <v>7.6</v>
      </c>
      <c r="E15" s="12">
        <f t="shared" si="1"/>
        <v>3.7999999999999999E-2</v>
      </c>
      <c r="F15" s="12">
        <v>1.72</v>
      </c>
      <c r="G15" s="23">
        <f t="shared" si="5"/>
        <v>3.6744067676386223E-5</v>
      </c>
      <c r="H15" s="20">
        <f>13*10^-6</f>
        <v>1.2999999999999999E-5</v>
      </c>
      <c r="I15" s="20">
        <f t="shared" si="2"/>
        <v>2.1991148575128561</v>
      </c>
      <c r="J15" s="13">
        <f t="shared" si="3"/>
        <v>4.0840704496667302</v>
      </c>
      <c r="K15" s="17">
        <f t="shared" si="6"/>
        <v>0.62831853071795951</v>
      </c>
      <c r="L15" s="13">
        <f t="shared" si="4"/>
        <v>1034.1805467667616</v>
      </c>
      <c r="N15" s="7"/>
    </row>
    <row r="16" spans="2:15">
      <c r="B16" s="14">
        <v>100.18</v>
      </c>
      <c r="C16" s="14">
        <f t="shared" si="0"/>
        <v>9.9820323417847868E-6</v>
      </c>
      <c r="D16" s="14">
        <v>7.84</v>
      </c>
      <c r="E16" s="14">
        <f t="shared" si="1"/>
        <v>3.9199999999999999E-2</v>
      </c>
      <c r="F16" s="14">
        <v>0.94399999999999995</v>
      </c>
      <c r="G16" s="24">
        <f t="shared" si="5"/>
        <v>4.0405622565470121E-5</v>
      </c>
      <c r="H16" s="21">
        <f>7*10^-6</f>
        <v>6.9999999999999999E-6</v>
      </c>
      <c r="I16" s="21">
        <f t="shared" si="2"/>
        <v>1.8770387786668294</v>
      </c>
      <c r="J16" s="15">
        <f t="shared" si="3"/>
        <v>4.4061465285127568</v>
      </c>
      <c r="K16" s="18">
        <f t="shared" si="6"/>
        <v>0.30624245187193289</v>
      </c>
      <c r="L16" s="15">
        <f t="shared" si="4"/>
        <v>970.16200991541155</v>
      </c>
      <c r="N16" s="7"/>
    </row>
    <row r="17" spans="7:12">
      <c r="G17" s="2"/>
      <c r="K17" s="6"/>
      <c r="L17" s="2"/>
    </row>
    <row r="25" spans="7:12">
      <c r="K25" t="s">
        <v>23</v>
      </c>
    </row>
  </sheetData>
  <mergeCells count="9">
    <mergeCell ref="B4:B6"/>
    <mergeCell ref="G4:G6"/>
    <mergeCell ref="F4:F6"/>
    <mergeCell ref="E4:E6"/>
    <mergeCell ref="D4:D6"/>
    <mergeCell ref="C4:C6"/>
    <mergeCell ref="H4:J4"/>
    <mergeCell ref="K4:L4"/>
    <mergeCell ref="H5:J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"/>
  <sheetViews>
    <sheetView workbookViewId="0">
      <selection activeCell="B3" sqref="B3"/>
    </sheetView>
  </sheetViews>
  <sheetFormatPr defaultRowHeight="18.75"/>
  <sheetData>
    <row r="2" spans="2:2">
      <c r="B2" t="s">
        <v>21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0"/>
  <sheetViews>
    <sheetView workbookViewId="0">
      <selection activeCell="B3" sqref="B3"/>
    </sheetView>
  </sheetViews>
  <sheetFormatPr defaultRowHeight="18.75"/>
  <sheetData>
    <row r="1" spans="2:5">
      <c r="B1" t="s">
        <v>17</v>
      </c>
      <c r="C1">
        <v>1</v>
      </c>
      <c r="D1" t="s">
        <v>24</v>
      </c>
      <c r="E1" t="s">
        <v>20</v>
      </c>
    </row>
    <row r="3" spans="2:5">
      <c r="B3" t="s">
        <v>26</v>
      </c>
    </row>
    <row r="4" spans="2:5">
      <c r="B4" t="s">
        <v>16</v>
      </c>
      <c r="C4" t="s">
        <v>0</v>
      </c>
      <c r="D4" t="s">
        <v>24</v>
      </c>
      <c r="E4" t="s">
        <v>18</v>
      </c>
    </row>
    <row r="5" spans="2:5">
      <c r="B5">
        <f>22*10^(2)*10^(-6)</f>
        <v>2.1999999999999997E-3</v>
      </c>
      <c r="C5">
        <v>16.89</v>
      </c>
      <c r="D5">
        <v>7.84</v>
      </c>
      <c r="E5">
        <f>1/(2*PI()*SQRT(6)*B5*10^-6*$C$1*10^3)*10^-3</f>
        <v>29.533969743699867</v>
      </c>
    </row>
    <row r="6" spans="2:5">
      <c r="B6">
        <f>47*10^(2)*10^(-6)</f>
        <v>4.7000000000000002E-3</v>
      </c>
      <c r="C6">
        <v>8.1969999999999992</v>
      </c>
      <c r="D6">
        <v>8</v>
      </c>
      <c r="E6">
        <f t="shared" ref="E6:E10" si="0">1/(2*PI()*SQRT(6)*B6*10^-6*$C$1*10^3)*10^-3</f>
        <v>13.82441136939142</v>
      </c>
    </row>
    <row r="7" spans="2:5">
      <c r="B7">
        <f>22*10^(3)*10^(-6)</f>
        <v>2.1999999999999999E-2</v>
      </c>
      <c r="C7">
        <v>2.016</v>
      </c>
      <c r="D7">
        <v>8</v>
      </c>
      <c r="E7">
        <f t="shared" si="0"/>
        <v>2.9533969743699857</v>
      </c>
    </row>
    <row r="8" spans="2:5">
      <c r="B8">
        <f>68*10^(3)*10^(-6)</f>
        <v>6.7999999999999991E-2</v>
      </c>
      <c r="C8">
        <f>675.7*10^(-3)</f>
        <v>0.67570000000000008</v>
      </c>
      <c r="D8">
        <v>8</v>
      </c>
      <c r="E8">
        <f t="shared" si="0"/>
        <v>0.95551078582558391</v>
      </c>
    </row>
    <row r="9" spans="2:5">
      <c r="B9">
        <f>10*10^(4)*10^(-6)</f>
        <v>9.9999999999999992E-2</v>
      </c>
      <c r="C9">
        <v>0.45450000000000002</v>
      </c>
      <c r="D9">
        <v>8</v>
      </c>
      <c r="E9">
        <f t="shared" si="0"/>
        <v>0.64974733436139698</v>
      </c>
    </row>
    <row r="10" spans="2:5">
      <c r="B10">
        <f>68*10^(4)*10^(-6)</f>
        <v>0.67999999999999994</v>
      </c>
      <c r="C10">
        <v>7.6920000000000002E-2</v>
      </c>
      <c r="D10">
        <v>8</v>
      </c>
      <c r="E10">
        <f t="shared" si="0"/>
        <v>9.5551078582558374E-2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77F3-59B6-4224-8C33-986267628183}">
  <dimension ref="A1:P25"/>
  <sheetViews>
    <sheetView zoomScale="78" zoomScaleNormal="78" workbookViewId="0">
      <selection activeCell="C14" sqref="C14"/>
    </sheetView>
  </sheetViews>
  <sheetFormatPr defaultRowHeight="18.75"/>
  <cols>
    <col min="3" max="3" width="10.875" customWidth="1"/>
    <col min="4" max="4" width="11.625" bestFit="1" customWidth="1"/>
    <col min="7" max="7" width="9.375" bestFit="1" customWidth="1"/>
    <col min="8" max="8" width="11.625" bestFit="1" customWidth="1"/>
    <col min="9" max="9" width="11.625" customWidth="1"/>
    <col min="10" max="10" width="9.375" bestFit="1" customWidth="1"/>
    <col min="14" max="14" width="14.25" bestFit="1" customWidth="1"/>
  </cols>
  <sheetData>
    <row r="1" spans="1:16">
      <c r="A1" s="40"/>
      <c r="B1" s="42"/>
      <c r="C1" s="40"/>
      <c r="D1" s="42"/>
      <c r="E1" s="44"/>
      <c r="F1" s="42"/>
      <c r="G1" s="29" t="s">
        <v>5</v>
      </c>
      <c r="H1" s="29"/>
      <c r="I1" s="29"/>
      <c r="J1" s="29"/>
      <c r="K1" s="29"/>
    </row>
    <row r="2" spans="1:16">
      <c r="A2" s="41"/>
      <c r="B2" s="43"/>
      <c r="C2" s="41"/>
      <c r="D2" s="43"/>
      <c r="E2" s="45"/>
      <c r="F2" s="43"/>
      <c r="G2" s="29" t="s">
        <v>6</v>
      </c>
      <c r="H2" s="29"/>
      <c r="I2" s="29"/>
      <c r="J2" s="25" t="s">
        <v>7</v>
      </c>
      <c r="K2" s="25" t="s">
        <v>8</v>
      </c>
      <c r="N2" s="3" t="s">
        <v>11</v>
      </c>
      <c r="O2" s="4">
        <v>200</v>
      </c>
      <c r="P2" t="s">
        <v>13</v>
      </c>
    </row>
    <row r="3" spans="1:16">
      <c r="A3" s="28" t="s">
        <v>0</v>
      </c>
      <c r="B3" s="29" t="s">
        <v>1</v>
      </c>
      <c r="C3" s="28" t="s">
        <v>2</v>
      </c>
      <c r="D3" s="29" t="s">
        <v>3</v>
      </c>
      <c r="E3" s="30" t="s">
        <v>15</v>
      </c>
      <c r="F3" s="29" t="s">
        <v>4</v>
      </c>
      <c r="G3" s="26" t="s">
        <v>25</v>
      </c>
      <c r="H3" s="9" t="s">
        <v>19</v>
      </c>
      <c r="I3" s="9" t="s">
        <v>22</v>
      </c>
      <c r="J3" s="25" t="s">
        <v>9</v>
      </c>
      <c r="K3" s="25" t="s">
        <v>10</v>
      </c>
      <c r="N3" s="3" t="s">
        <v>12</v>
      </c>
      <c r="O3" s="5">
        <f>0.068*10^(-6)</f>
        <v>6.8E-8</v>
      </c>
      <c r="P3" t="s">
        <v>14</v>
      </c>
    </row>
    <row r="4" spans="1:16">
      <c r="A4" s="10">
        <v>0.1</v>
      </c>
      <c r="B4" s="10">
        <f>1/(A4*10^3)</f>
        <v>0.01</v>
      </c>
      <c r="C4" s="10">
        <f>3.68</f>
        <v>3.68</v>
      </c>
      <c r="D4" s="10">
        <f>C4/$O$2</f>
        <v>1.84E-2</v>
      </c>
      <c r="E4" s="10">
        <f>35.2*10^-3</f>
        <v>3.5200000000000002E-2</v>
      </c>
      <c r="F4" s="22">
        <f>(2*PI()*A4)*$O$3*(E4)</f>
        <v>1.5039432351265058E-9</v>
      </c>
      <c r="G4" s="19">
        <f>293*10^-6</f>
        <v>2.9299999999999997E-4</v>
      </c>
      <c r="H4" s="19">
        <f>2*PI()-I4</f>
        <v>6.0990879776792246</v>
      </c>
      <c r="I4" s="11">
        <f>2*PI()*(G4/B4)</f>
        <v>0.18409732950036184</v>
      </c>
      <c r="J4" s="16">
        <f>H4-(PI()/2)</f>
        <v>4.5282916508843281</v>
      </c>
      <c r="K4" s="11">
        <f>ABS(D4/F4)</f>
        <v>12234504.315219227</v>
      </c>
    </row>
    <row r="5" spans="1:16">
      <c r="A5" s="12">
        <v>0.20100000000000001</v>
      </c>
      <c r="B5" s="12">
        <f t="shared" ref="B5:B13" si="0">1/(A5*10^3)</f>
        <v>4.9751243781094526E-3</v>
      </c>
      <c r="C5" s="12">
        <v>3.64</v>
      </c>
      <c r="D5" s="12">
        <f>C5/$O$2</f>
        <v>1.8200000000000001E-2</v>
      </c>
      <c r="E5" s="12">
        <f>128*10^-3</f>
        <v>0.128</v>
      </c>
      <c r="F5" s="23">
        <f>(2*PI()*A5)*$O$3*(E5)</f>
        <v>1.0992457827651915E-8</v>
      </c>
      <c r="G5" s="20">
        <f>370*10^-6</f>
        <v>3.6999999999999999E-4</v>
      </c>
      <c r="H5" s="20">
        <f t="shared" ref="H5:H13" si="1">2*PI()-I5</f>
        <v>5.8159048158846405</v>
      </c>
      <c r="I5" s="13">
        <f t="shared" ref="I5:I13" si="2">2*PI()*(G5/B5)</f>
        <v>0.46728049129494587</v>
      </c>
      <c r="J5" s="17">
        <f>H5-(PI()/2)</f>
        <v>4.2451084890897439</v>
      </c>
      <c r="K5" s="13">
        <f t="shared" ref="K5:K13" si="3">ABS(D5/F5)</f>
        <v>1655680.675364272</v>
      </c>
      <c r="O5" t="s">
        <v>27</v>
      </c>
    </row>
    <row r="6" spans="1:16">
      <c r="A6" s="12">
        <v>0.504</v>
      </c>
      <c r="B6" s="12">
        <f t="shared" si="0"/>
        <v>1.984126984126984E-3</v>
      </c>
      <c r="C6" s="12">
        <v>3.68</v>
      </c>
      <c r="D6" s="12">
        <f>C6/$O$2</f>
        <v>1.84E-2</v>
      </c>
      <c r="E6" s="12">
        <v>0.68799999999999994</v>
      </c>
      <c r="F6" s="23">
        <f>(2*PI()*A6)*$O$3*(E6)</f>
        <v>1.4815208087118923E-7</v>
      </c>
      <c r="G6" s="20">
        <f>300*10^-6</f>
        <v>2.9999999999999997E-4</v>
      </c>
      <c r="H6" s="20">
        <f t="shared" si="1"/>
        <v>5.3331676887340329</v>
      </c>
      <c r="I6" s="13">
        <f t="shared" si="2"/>
        <v>0.95001761844555344</v>
      </c>
      <c r="J6" s="17">
        <f t="shared" ref="J6:J13" si="4">H6-(PI()/2)</f>
        <v>3.7623713619391363</v>
      </c>
      <c r="K6" s="13">
        <f t="shared" si="3"/>
        <v>124196.70308915791</v>
      </c>
    </row>
    <row r="7" spans="1:16">
      <c r="A7" s="12">
        <v>1.008</v>
      </c>
      <c r="B7" s="12">
        <f t="shared" si="0"/>
        <v>9.9206349206349201E-4</v>
      </c>
      <c r="C7" s="12">
        <v>3.88</v>
      </c>
      <c r="D7" s="12">
        <f>C7/$O$2</f>
        <v>1.9400000000000001E-2</v>
      </c>
      <c r="E7" s="12">
        <v>1.74</v>
      </c>
      <c r="F7" s="23">
        <f>(2*PI()*A7)*$O$3*(E7)</f>
        <v>7.4937389742985254E-7</v>
      </c>
      <c r="G7" s="20">
        <f>260*10^-6</f>
        <v>2.5999999999999998E-4</v>
      </c>
      <c r="H7" s="20">
        <f t="shared" si="1"/>
        <v>4.6364881018739599</v>
      </c>
      <c r="I7" s="13">
        <f t="shared" si="2"/>
        <v>1.6466972053056259</v>
      </c>
      <c r="J7" s="17">
        <f t="shared" si="4"/>
        <v>3.0656917750790633</v>
      </c>
      <c r="K7" s="13">
        <f t="shared" si="3"/>
        <v>25888.278290098831</v>
      </c>
      <c r="N7" s="7"/>
    </row>
    <row r="8" spans="1:16">
      <c r="A8" s="12">
        <v>2.0070000000000001</v>
      </c>
      <c r="B8" s="12">
        <f t="shared" si="0"/>
        <v>4.9825610363726954E-4</v>
      </c>
      <c r="C8" s="12">
        <v>4.32</v>
      </c>
      <c r="D8" s="12">
        <f>C8/$O$2</f>
        <v>2.1600000000000001E-2</v>
      </c>
      <c r="E8" s="12">
        <v>3.08</v>
      </c>
      <c r="F8" s="23">
        <f>(2*PI()*A8)*$O$3*(E8)</f>
        <v>2.641112313786535E-6</v>
      </c>
      <c r="G8" s="20">
        <f>180*10^-6</f>
        <v>1.7999999999999998E-4</v>
      </c>
      <c r="H8" s="20">
        <f t="shared" si="1"/>
        <v>4.0133217831078891</v>
      </c>
      <c r="I8" s="13">
        <f t="shared" si="2"/>
        <v>2.2698635240716971</v>
      </c>
      <c r="J8" s="17">
        <f t="shared" si="4"/>
        <v>2.4425254563129926</v>
      </c>
      <c r="K8" s="13">
        <f t="shared" si="3"/>
        <v>8178.3723801705</v>
      </c>
      <c r="N8" s="7"/>
    </row>
    <row r="9" spans="1:16">
      <c r="A9" s="12">
        <v>5.0679999999999996</v>
      </c>
      <c r="B9" s="12">
        <f t="shared" si="0"/>
        <v>1.973164956590371E-4</v>
      </c>
      <c r="C9" s="12">
        <v>4.88</v>
      </c>
      <c r="D9" s="12">
        <f>C9/$O$2</f>
        <v>2.4399999999999998E-2</v>
      </c>
      <c r="E9" s="12">
        <v>4.04</v>
      </c>
      <c r="F9" s="23">
        <f>(2*PI()*A9)*$O$3*(E9)</f>
        <v>8.7479592713378883E-6</v>
      </c>
      <c r="G9" s="20">
        <f>100*10^-6</f>
        <v>9.9999999999999991E-5</v>
      </c>
      <c r="H9" s="20">
        <f t="shared" si="1"/>
        <v>3.0988669935009723</v>
      </c>
      <c r="I9" s="13">
        <f t="shared" si="2"/>
        <v>3.184318313678614</v>
      </c>
      <c r="J9" s="17">
        <f t="shared" si="4"/>
        <v>1.5280706667060757</v>
      </c>
      <c r="K9" s="13">
        <f t="shared" si="3"/>
        <v>2789.2219480199215</v>
      </c>
      <c r="N9" s="7"/>
    </row>
    <row r="10" spans="1:16">
      <c r="A10" s="12">
        <v>10.071999999999999</v>
      </c>
      <c r="B10" s="12">
        <f t="shared" si="0"/>
        <v>9.9285146942017469E-5</v>
      </c>
      <c r="C10" s="12">
        <v>5.4</v>
      </c>
      <c r="D10" s="12">
        <f>C10/$O$2</f>
        <v>2.7000000000000003E-2</v>
      </c>
      <c r="E10" s="12">
        <v>3.96</v>
      </c>
      <c r="F10" s="23">
        <f>(2*PI()*A10)*$O$3*(E10)</f>
        <v>1.7041180797218436E-5</v>
      </c>
      <c r="G10" s="20">
        <f>58*10^-6</f>
        <v>5.8E-5</v>
      </c>
      <c r="H10" s="20">
        <f t="shared" si="1"/>
        <v>2.6126992471726442</v>
      </c>
      <c r="I10" s="13">
        <f t="shared" si="2"/>
        <v>3.670486060006942</v>
      </c>
      <c r="J10" s="17">
        <f t="shared" si="4"/>
        <v>1.0419029203777477</v>
      </c>
      <c r="K10" s="13">
        <f t="shared" si="3"/>
        <v>1584.3972504773324</v>
      </c>
      <c r="N10" s="7"/>
    </row>
    <row r="11" spans="1:16">
      <c r="A11" s="12">
        <v>20.132000000000001</v>
      </c>
      <c r="B11" s="12">
        <f t="shared" si="0"/>
        <v>4.9672163719451619E-5</v>
      </c>
      <c r="C11" s="12">
        <v>6.4</v>
      </c>
      <c r="D11" s="12">
        <f>C11/$O$2</f>
        <v>3.2000000000000001E-2</v>
      </c>
      <c r="E11" s="12">
        <v>3.16</v>
      </c>
      <c r="F11" s="23">
        <f>(2*PI()*A11)*$O$3*(E11)</f>
        <v>2.7180834449497483E-5</v>
      </c>
      <c r="G11" s="20">
        <f>32*10^-6</f>
        <v>3.1999999999999999E-5</v>
      </c>
      <c r="H11" s="20">
        <f t="shared" si="1"/>
        <v>2.2354065358471242</v>
      </c>
      <c r="I11" s="13">
        <f t="shared" si="2"/>
        <v>4.047778771332462</v>
      </c>
      <c r="J11" s="17">
        <f t="shared" si="4"/>
        <v>0.66461020905222767</v>
      </c>
      <c r="K11" s="13">
        <f t="shared" si="3"/>
        <v>1177.300132542164</v>
      </c>
      <c r="N11" s="7"/>
    </row>
    <row r="12" spans="1:16">
      <c r="A12" s="12">
        <v>50</v>
      </c>
      <c r="B12" s="12">
        <f>1/(A12*10^3)</f>
        <v>2.0000000000000002E-5</v>
      </c>
      <c r="C12" s="12">
        <v>7.6</v>
      </c>
      <c r="D12" s="12">
        <f>C12/$O$2</f>
        <v>3.7999999999999999E-2</v>
      </c>
      <c r="E12" s="12">
        <v>1.72</v>
      </c>
      <c r="F12" s="23">
        <f>(2*PI()*A12)*$O$3*(E12)</f>
        <v>3.6744067676386223E-5</v>
      </c>
      <c r="G12" s="20">
        <f>13*10^-6</f>
        <v>1.2999999999999999E-5</v>
      </c>
      <c r="H12" s="20">
        <f t="shared" si="1"/>
        <v>2.1991148575128561</v>
      </c>
      <c r="I12" s="13">
        <f t="shared" si="2"/>
        <v>4.0840704496667302</v>
      </c>
      <c r="J12" s="17">
        <f t="shared" si="4"/>
        <v>0.62831853071795951</v>
      </c>
      <c r="K12" s="13">
        <f t="shared" si="3"/>
        <v>1034.1805467667616</v>
      </c>
      <c r="N12" s="7"/>
    </row>
    <row r="13" spans="1:16">
      <c r="A13" s="14">
        <v>100.18</v>
      </c>
      <c r="B13" s="14">
        <f t="shared" si="0"/>
        <v>9.9820323417847868E-6</v>
      </c>
      <c r="C13" s="14">
        <v>7.84</v>
      </c>
      <c r="D13" s="14">
        <f>C13/$O$2</f>
        <v>3.9199999999999999E-2</v>
      </c>
      <c r="E13" s="14">
        <v>0.94399999999999995</v>
      </c>
      <c r="F13" s="24">
        <f>(2*PI()*A13)*$O$3*(E13)</f>
        <v>4.0405622565470121E-5</v>
      </c>
      <c r="G13" s="21">
        <f>7*10^-6</f>
        <v>6.9999999999999999E-6</v>
      </c>
      <c r="H13" s="21">
        <f t="shared" si="1"/>
        <v>1.8770387786668294</v>
      </c>
      <c r="I13" s="15">
        <f t="shared" si="2"/>
        <v>4.4061465285127568</v>
      </c>
      <c r="J13" s="18">
        <f t="shared" si="4"/>
        <v>0.30624245187193289</v>
      </c>
      <c r="K13" s="15">
        <f t="shared" si="3"/>
        <v>970.16200991541155</v>
      </c>
      <c r="N13" s="7"/>
    </row>
    <row r="14" spans="1:16">
      <c r="N14" s="7"/>
    </row>
    <row r="15" spans="1:16">
      <c r="N15" s="7"/>
    </row>
    <row r="16" spans="1:16">
      <c r="N16" s="7"/>
    </row>
    <row r="17" spans="7:12">
      <c r="G17" s="2"/>
      <c r="K17" s="6"/>
      <c r="L17" s="2"/>
    </row>
    <row r="25" spans="7:12">
      <c r="K25" t="s">
        <v>23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7DBE-EEB9-4778-A741-167141F1BFF6}">
  <dimension ref="A1:J7"/>
  <sheetViews>
    <sheetView tabSelected="1" workbookViewId="0">
      <selection activeCell="E15" sqref="E15"/>
    </sheetView>
  </sheetViews>
  <sheetFormatPr defaultRowHeight="18.75"/>
  <sheetData>
    <row r="1" spans="1:10">
      <c r="A1" t="s">
        <v>16</v>
      </c>
      <c r="B1" t="s">
        <v>0</v>
      </c>
      <c r="C1" t="s">
        <v>24</v>
      </c>
      <c r="D1" t="s">
        <v>18</v>
      </c>
      <c r="G1" t="s">
        <v>17</v>
      </c>
      <c r="H1">
        <v>1</v>
      </c>
      <c r="I1" t="s">
        <v>24</v>
      </c>
      <c r="J1" t="s">
        <v>20</v>
      </c>
    </row>
    <row r="2" spans="1:10">
      <c r="A2">
        <f>22*10^(2)*10^(-6)</f>
        <v>2.1999999999999997E-3</v>
      </c>
      <c r="B2">
        <v>16.89</v>
      </c>
      <c r="C2">
        <v>7.84</v>
      </c>
      <c r="D2">
        <f>1/(2*PI()*SQRT(6)*A2*10^-6*$H$1*10^3)*10^-3</f>
        <v>29.533969743699867</v>
      </c>
      <c r="G2" t="s">
        <v>26</v>
      </c>
    </row>
    <row r="3" spans="1:10">
      <c r="A3">
        <f>47*10^(2)*10^(-6)</f>
        <v>4.7000000000000002E-3</v>
      </c>
      <c r="B3">
        <v>8.1969999999999992</v>
      </c>
      <c r="C3">
        <v>8</v>
      </c>
      <c r="D3">
        <f>1/(2*PI()*SQRT(6)*A3*10^-6*$H$1*10^3)*10^-3</f>
        <v>13.82441136939142</v>
      </c>
    </row>
    <row r="4" spans="1:10">
      <c r="A4">
        <f>22*10^(3)*10^(-6)</f>
        <v>2.1999999999999999E-2</v>
      </c>
      <c r="B4">
        <v>2.016</v>
      </c>
      <c r="C4">
        <v>8</v>
      </c>
      <c r="D4">
        <f>1/(2*PI()*SQRT(6)*A4*10^-6*$H$1*10^3)*10^-3</f>
        <v>2.9533969743699857</v>
      </c>
    </row>
    <row r="5" spans="1:10">
      <c r="A5">
        <f>68*10^(3)*10^(-6)</f>
        <v>6.7999999999999991E-2</v>
      </c>
      <c r="B5">
        <f>675.7*10^(-3)</f>
        <v>0.67570000000000008</v>
      </c>
      <c r="C5">
        <v>8</v>
      </c>
      <c r="D5">
        <f>1/(2*PI()*SQRT(6)*A5*10^-6*$H$1*10^3)*10^-3</f>
        <v>0.95551078582558391</v>
      </c>
    </row>
    <row r="6" spans="1:10">
      <c r="A6">
        <f>10*10^(4)*10^(-6)</f>
        <v>9.9999999999999992E-2</v>
      </c>
      <c r="B6">
        <v>0.45450000000000002</v>
      </c>
      <c r="C6">
        <v>8</v>
      </c>
      <c r="D6">
        <f>1/(2*PI()*SQRT(6)*A6*10^-6*$H$1*10^3)*10^-3</f>
        <v>0.64974733436139698</v>
      </c>
    </row>
    <row r="7" spans="1:10">
      <c r="A7">
        <f>68*10^(4)*10^(-6)</f>
        <v>0.67999999999999994</v>
      </c>
      <c r="B7">
        <v>7.6920000000000002E-2</v>
      </c>
      <c r="C7">
        <v>8</v>
      </c>
      <c r="D7">
        <f>1/(2*PI()*SQRT(6)*A7*10^-6*$H$1*10^3)*10^-3</f>
        <v>9.5551078582558374E-2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1</vt:i4>
      </vt:variant>
    </vt:vector>
  </HeadingPairs>
  <TitlesOfParts>
    <vt:vector size="6" baseType="lpstr">
      <vt:lpstr>実験1</vt:lpstr>
      <vt:lpstr>実験2</vt:lpstr>
      <vt:lpstr>実験3</vt:lpstr>
      <vt:lpstr>実験1 (2)</vt:lpstr>
      <vt:lpstr>実験3 (2)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e16278@kagawa.kosen-ac.jp</cp:lastModifiedBy>
  <dcterms:created xsi:type="dcterms:W3CDTF">2019-11-05T04:51:23Z</dcterms:created>
  <dcterms:modified xsi:type="dcterms:W3CDTF">2019-12-09T23:52:24Z</dcterms:modified>
</cp:coreProperties>
</file>