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E74825E5-E3AC-4C73-AAFA-9F456F24F3A8}"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E92" i="4"/>
  <c r="E93" i="4"/>
  <c r="E91" i="4"/>
  <c r="E90" i="4"/>
  <c r="D90" i="4"/>
  <c r="A4" i="1"/>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2" i="8" l="1"/>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G7" i="9" l="1"/>
  <c r="AF7" i="9"/>
  <c r="AJ7" i="9"/>
  <c r="AD7" i="9"/>
  <c r="AG8" i="9" l="1"/>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AG9" i="9"/>
  <c r="J4" i="2"/>
  <c r="AF9" i="9"/>
  <c r="AJ9" i="9"/>
  <c r="AD9" i="9"/>
  <c r="AC4" i="1"/>
  <c r="AB4" i="1"/>
  <c r="O7" i="1" l="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I24" i="12" s="1"/>
  <c r="F24" i="12"/>
  <c r="I25" i="12"/>
  <c r="M25" i="12"/>
  <c r="M26" i="12"/>
  <c r="K27" i="12"/>
  <c r="K28" i="12"/>
  <c r="K24" i="12" s="1"/>
  <c r="J24" i="12" s="1"/>
  <c r="M24" i="12" s="1"/>
  <c r="C34" i="12"/>
  <c r="K34" i="12" s="1"/>
  <c r="J34" i="12" s="1"/>
  <c r="M34" i="12" s="1"/>
  <c r="M39" i="12" s="1"/>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6" i="12"/>
  <c r="J36" i="12"/>
  <c r="N36" i="12" s="1"/>
  <c r="N39" i="12" s="1"/>
  <c r="K23" i="12"/>
  <c r="J23" i="12" s="1"/>
  <c r="M23" i="12" s="1"/>
  <c r="K35" i="12"/>
  <c r="C1270" i="1"/>
  <c r="B1270" i="11"/>
  <c r="C1270" i="2"/>
  <c r="A1270" i="10"/>
  <c r="B1270" i="7"/>
  <c r="A1270" i="5"/>
  <c r="B1270" i="8"/>
  <c r="P5" i="2"/>
  <c r="J35" i="12" l="1"/>
  <c r="O9" i="1"/>
  <c r="BJ4" i="1"/>
  <c r="AO4" i="1"/>
  <c r="CQ4" i="5"/>
  <c r="G4" i="5" s="1"/>
  <c r="CT4" i="5"/>
  <c r="J4" i="5" s="1"/>
  <c r="CW4" i="5"/>
  <c r="M4" i="5" s="1"/>
  <c r="DF4" i="5" s="1"/>
  <c r="CS4" i="5"/>
  <c r="I4" i="5" s="1"/>
  <c r="CV4" i="5"/>
  <c r="L4" i="5" s="1"/>
  <c r="CS5" i="5"/>
  <c r="CV5" i="5"/>
  <c r="CR4" i="5"/>
  <c r="H4" i="5" s="1"/>
  <c r="CU4" i="5"/>
  <c r="K4" i="5" s="1"/>
  <c r="CR5"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M27" i="12"/>
  <c r="B50" i="4"/>
  <c r="D5" i="12"/>
  <c r="F4" i="12"/>
  <c r="E4" i="12" s="1"/>
  <c r="O7" i="2"/>
  <c r="K22" i="12"/>
  <c r="K25" i="12"/>
  <c r="K33" i="12"/>
  <c r="J4" i="12"/>
  <c r="D67" i="4"/>
  <c r="A35" i="6"/>
  <c r="I36" i="4"/>
  <c r="I37" i="4"/>
  <c r="A36" i="6"/>
  <c r="I8" i="12"/>
  <c r="J7" i="12"/>
  <c r="F1" i="14"/>
  <c r="CT5" i="5" l="1"/>
  <c r="J5" i="5" s="1"/>
  <c r="CU5" i="5"/>
  <c r="K5" i="5" s="1"/>
  <c r="CW5" i="5"/>
  <c r="M5" i="5" s="1"/>
  <c r="J7" i="10"/>
  <c r="N7" i="5" s="1"/>
  <c r="BK5" i="5" a="1"/>
  <c r="BK5" i="5" s="1"/>
  <c r="BN5" i="5" a="1"/>
  <c r="BN5" i="5" s="1"/>
  <c r="BJ5" i="5" a="1"/>
  <c r="BJ5" i="5" s="1"/>
  <c r="BJ6" i="5" s="1" a="1"/>
  <c r="BJ6" i="5" s="1"/>
  <c r="BM5" i="5" a="1"/>
  <c r="BM5" i="5" s="1"/>
  <c r="BH5" i="5" a="1"/>
  <c r="BH5" i="5" s="1"/>
  <c r="BH6" i="5" s="1" a="1"/>
  <c r="BH6" i="5" s="1"/>
  <c r="BG5" i="5" a="1"/>
  <c r="BG5" i="5" s="1"/>
  <c r="BG6" i="5" s="1" a="1"/>
  <c r="BG6" i="5" s="1"/>
  <c r="BF5" i="5" a="1"/>
  <c r="BF5" i="5" s="1"/>
  <c r="BF6" i="5" s="1" a="1"/>
  <c r="BF6" i="5" s="1"/>
  <c r="AY5" i="5" a="1"/>
  <c r="AY5" i="5" s="1"/>
  <c r="BI5" i="5" a="1"/>
  <c r="BI5" i="5" s="1"/>
  <c r="BI6" i="5" s="1" a="1"/>
  <c r="BI6" i="5" s="1"/>
  <c r="BI7" i="5" s="1" a="1"/>
  <c r="BI7" i="5" s="1"/>
  <c r="BE5" i="5" a="1"/>
  <c r="BE5" i="5" s="1"/>
  <c r="BE6" i="5" s="1" a="1"/>
  <c r="BE6" i="5" s="1"/>
  <c r="BE7" i="5" s="1" a="1"/>
  <c r="BE7" i="5" s="1"/>
  <c r="BD5" i="5" a="1"/>
  <c r="BD5" i="5" s="1"/>
  <c r="BD6" i="5" s="1" a="1"/>
  <c r="BD6" i="5" s="1"/>
  <c r="BD7" i="5" s="1" a="1"/>
  <c r="BD7" i="5" s="1"/>
  <c r="BL5" i="5" a="1"/>
  <c r="BL5" i="5" s="1"/>
  <c r="BC5" i="5" a="1"/>
  <c r="BC5" i="5" s="1"/>
  <c r="BB5" i="5" a="1"/>
  <c r="BB5" i="5" s="1"/>
  <c r="BQ5" i="5" a="1"/>
  <c r="BQ5" i="5" s="1"/>
  <c r="BA5" i="5" a="1"/>
  <c r="BA5" i="5" s="1"/>
  <c r="AZ5" i="5" a="1"/>
  <c r="AZ5" i="5" s="1"/>
  <c r="BO5" i="5" a="1"/>
  <c r="BO5" i="5" s="1"/>
  <c r="BO6" i="5" s="1" a="1"/>
  <c r="BO6" i="5" s="1"/>
  <c r="V4" i="2"/>
  <c r="N7" i="2"/>
  <c r="O10" i="1"/>
  <c r="AS5" i="5"/>
  <c r="H5" i="5"/>
  <c r="CA76" i="8"/>
  <c r="CA71" i="8"/>
  <c r="CA72" i="8"/>
  <c r="CA69" i="8"/>
  <c r="CA66" i="8"/>
  <c r="CA73" i="8"/>
  <c r="CA65" i="8"/>
  <c r="CA74" i="8"/>
  <c r="CA75" i="8"/>
  <c r="CA77" i="8"/>
  <c r="AD5" i="8"/>
  <c r="AR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J4" i="7"/>
  <c r="CZ4" i="5"/>
  <c r="B4" i="10"/>
  <c r="D4" i="7"/>
  <c r="G5" i="5"/>
  <c r="B4" i="5"/>
  <c r="G4" i="7"/>
  <c r="DC4" i="5"/>
  <c r="E4" i="10"/>
  <c r="DB4" i="5"/>
  <c r="I5" i="5"/>
  <c r="F4" i="7"/>
  <c r="D4" i="10"/>
  <c r="DA4" i="5"/>
  <c r="C4" i="10"/>
  <c r="E4" i="7"/>
  <c r="F8" i="8"/>
  <c r="J8" i="8"/>
  <c r="E8" i="8"/>
  <c r="CB7" i="8"/>
  <c r="AG13" i="9"/>
  <c r="AF13" i="9"/>
  <c r="AJ13" i="9"/>
  <c r="AD13" i="9"/>
  <c r="S6" i="2"/>
  <c r="P7" i="2"/>
  <c r="Q6" i="2"/>
  <c r="M7" i="2"/>
  <c r="J8" i="10"/>
  <c r="N8" i="5" s="1"/>
  <c r="O8" i="2"/>
  <c r="D6" i="12"/>
  <c r="F5" i="12"/>
  <c r="E5" i="12" s="1"/>
  <c r="DE4" i="5"/>
  <c r="A37" i="6"/>
  <c r="I38" i="4"/>
  <c r="CH18" i="8"/>
  <c r="CH19" i="8"/>
  <c r="J8" i="12"/>
  <c r="I9" i="12"/>
  <c r="AD4" i="1" l="1"/>
  <c r="BG7" i="5" a="1"/>
  <c r="BG7" i="5" s="1"/>
  <c r="CR7" i="5"/>
  <c r="CS7" i="5"/>
  <c r="CU7" i="5"/>
  <c r="CT7" i="5"/>
  <c r="CV7" i="5"/>
  <c r="CQ7" i="5"/>
  <c r="CW7" i="5"/>
  <c r="BH7" i="5" a="1"/>
  <c r="BH7" i="5" s="1"/>
  <c r="BH8" i="5" s="1" a="1"/>
  <c r="BH8" i="5" s="1"/>
  <c r="BM6" i="5" a="1"/>
  <c r="BM6" i="5" s="1"/>
  <c r="BM7" i="5" s="1" a="1"/>
  <c r="BM7" i="5" s="1"/>
  <c r="BM8" i="5" s="1" a="1"/>
  <c r="BM8" i="5" s="1"/>
  <c r="BJ7" i="5" a="1"/>
  <c r="BJ7" i="5" s="1"/>
  <c r="BJ8" i="5" s="1" a="1"/>
  <c r="BJ8" i="5" s="1"/>
  <c r="BO7" i="5" a="1"/>
  <c r="BO7" i="5" s="1"/>
  <c r="BN6" i="5" a="1"/>
  <c r="BN6" i="5" s="1"/>
  <c r="BN7" i="5" s="1" a="1"/>
  <c r="BN7" i="5" s="1"/>
  <c r="BF7" i="5" a="1"/>
  <c r="BF7" i="5" s="1"/>
  <c r="AY6" i="5" a="1"/>
  <c r="AY6" i="5" s="1"/>
  <c r="AY7" i="5" s="1" a="1"/>
  <c r="AY7" i="5" s="1"/>
  <c r="BL6" i="5" a="1"/>
  <c r="BL6" i="5" s="1"/>
  <c r="BL7" i="5" s="1" a="1"/>
  <c r="BL7" i="5" s="1"/>
  <c r="CT6" i="5"/>
  <c r="J6" i="5" s="1"/>
  <c r="CR6" i="5"/>
  <c r="H6" i="5" s="1"/>
  <c r="CQ6" i="5"/>
  <c r="CW6" i="5"/>
  <c r="M6" i="5" s="1"/>
  <c r="CS6" i="5"/>
  <c r="I6" i="5" s="1"/>
  <c r="CU6" i="5"/>
  <c r="K6" i="5" s="1"/>
  <c r="CV6" i="5"/>
  <c r="L6" i="5" s="1"/>
  <c r="AZ6" i="5" a="1"/>
  <c r="AZ6" i="5" s="1"/>
  <c r="AZ7" i="5" s="1" a="1"/>
  <c r="AZ7" i="5" s="1"/>
  <c r="AZ8" i="5" s="1" a="1"/>
  <c r="AZ8" i="5" s="1"/>
  <c r="BK6" i="5" a="1"/>
  <c r="BK6" i="5" s="1"/>
  <c r="BK7" i="5" s="1" a="1"/>
  <c r="BK7" i="5" s="1"/>
  <c r="BK8" i="5" s="1" a="1"/>
  <c r="BK8" i="5" s="1"/>
  <c r="BA6" i="5" a="1"/>
  <c r="BA6" i="5" s="1"/>
  <c r="BA7" i="5" s="1" a="1"/>
  <c r="BA7" i="5" s="1"/>
  <c r="BA8" i="5" s="1" a="1"/>
  <c r="BA8" i="5" s="1"/>
  <c r="BQ6" i="5" a="1"/>
  <c r="BQ6" i="5" s="1"/>
  <c r="BQ7" i="5" s="1" a="1"/>
  <c r="BQ7" i="5" s="1"/>
  <c r="BQ8" i="5" s="1" a="1"/>
  <c r="BQ8" i="5" s="1"/>
  <c r="BB6" i="5" a="1"/>
  <c r="BB6" i="5" s="1"/>
  <c r="BB7" i="5" s="1" a="1"/>
  <c r="BB7" i="5" s="1"/>
  <c r="BC6" i="5" a="1"/>
  <c r="BC6" i="5" s="1"/>
  <c r="BC7" i="5" s="1" a="1"/>
  <c r="BC7" i="5" s="1"/>
  <c r="V5" i="2"/>
  <c r="O11" i="1"/>
  <c r="BP6" i="5" a="1"/>
  <c r="BP6" i="5" s="1"/>
  <c r="AS6" i="5"/>
  <c r="CA78" i="8"/>
  <c r="DG4" i="5" a="1"/>
  <c r="DG4" i="5" s="1"/>
  <c r="DD5" i="5"/>
  <c r="AD6" i="8"/>
  <c r="AR6" i="8"/>
  <c r="AM5" i="1"/>
  <c r="AD7" i="8"/>
  <c r="AR7" i="8"/>
  <c r="C5" i="5"/>
  <c r="DH5" i="5"/>
  <c r="AF4" i="1"/>
  <c r="G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N9" i="5" s="1"/>
  <c r="M8" i="2"/>
  <c r="F6" i="12"/>
  <c r="E6" i="12" s="1"/>
  <c r="D7" i="12"/>
  <c r="DB5" i="5"/>
  <c r="DE5" i="5"/>
  <c r="DF5" i="5"/>
  <c r="DC5" i="5"/>
  <c r="A38" i="6"/>
  <c r="CH20" i="8"/>
  <c r="CH21" i="8"/>
  <c r="I39" i="4"/>
  <c r="I10" i="12"/>
  <c r="J9" i="12"/>
  <c r="E18" i="4"/>
  <c r="AD5" i="1" l="1"/>
  <c r="AY8" i="5" a="1"/>
  <c r="AY8" i="5" s="1"/>
  <c r="BL8" i="5" a="1"/>
  <c r="BL8" i="5" s="1"/>
  <c r="CU8" i="5"/>
  <c r="CT8" i="5"/>
  <c r="CR8" i="5"/>
  <c r="CW8" i="5"/>
  <c r="CQ8" i="5"/>
  <c r="CS8" i="5"/>
  <c r="CV8" i="5"/>
  <c r="BQ9" i="5" a="1"/>
  <c r="BQ9" i="5" s="1"/>
  <c r="BJ9" i="5" a="1"/>
  <c r="BJ9" i="5" s="1"/>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A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BM9" i="5" s="1" a="1"/>
  <c r="BM9" i="5" s="1"/>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Q4" i="1" s="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AD7" i="1" l="1"/>
  <c r="BI9" i="5" a="1"/>
  <c r="BI9" i="5" s="1"/>
  <c r="AY9" i="5" a="1"/>
  <c r="AY9" i="5" s="1"/>
  <c r="BL9" i="5" a="1"/>
  <c r="BL9" i="5" s="1"/>
  <c r="CV9" i="5"/>
  <c r="CQ9" i="5"/>
  <c r="CT9" i="5"/>
  <c r="CU9" i="5"/>
  <c r="CS9" i="5"/>
  <c r="CR9" i="5"/>
  <c r="CW9" i="5"/>
  <c r="BO9" i="5" a="1"/>
  <c r="BO9" i="5" s="1"/>
  <c r="BO10" i="5" s="1" a="1"/>
  <c r="BO10" i="5" s="1"/>
  <c r="BB9" i="5" a="1"/>
  <c r="BB9" i="5" s="1"/>
  <c r="BB10" i="5" s="1" a="1"/>
  <c r="BB10" i="5" s="1"/>
  <c r="BG9" i="5" a="1"/>
  <c r="BG9" i="5" s="1"/>
  <c r="BG10" i="5" s="1" a="1"/>
  <c r="BG10" i="5" s="1"/>
  <c r="BN9" i="5" a="1"/>
  <c r="BN9" i="5" s="1"/>
  <c r="BN10" i="5" s="1" a="1"/>
  <c r="BN10" i="5" s="1"/>
  <c r="BE9" i="5" a="1"/>
  <c r="BE9" i="5" s="1"/>
  <c r="AZ9" i="5" a="1"/>
  <c r="AZ9" i="5" s="1"/>
  <c r="BD9" i="5" a="1"/>
  <c r="BD9" i="5" s="1"/>
  <c r="BA9" i="5" a="1"/>
  <c r="BA9" i="5" s="1"/>
  <c r="BF9" i="5" a="1"/>
  <c r="BF9" i="5" s="1"/>
  <c r="BH9" i="5" a="1"/>
  <c r="BH9" i="5" s="1"/>
  <c r="BC9" i="5" a="1"/>
  <c r="BC9" i="5" s="1"/>
  <c r="BK9" i="5" a="1"/>
  <c r="BK9" i="5" s="1"/>
  <c r="V7" i="2"/>
  <c r="AO4" i="5"/>
  <c r="AV5" i="5"/>
  <c r="BP8" i="5" a="1"/>
  <c r="BP8" i="5" s="1"/>
  <c r="BD5" i="8"/>
  <c r="BP5" i="8" s="1"/>
  <c r="O13" i="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Q5" i="1" s="1"/>
  <c r="BE5" i="8"/>
  <c r="BN5" i="8" s="1"/>
  <c r="DE7" i="5"/>
  <c r="DF7" i="5"/>
  <c r="DH7" i="5"/>
  <c r="K10" i="11"/>
  <c r="A10" i="14"/>
  <c r="CA10" i="14" s="1"/>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N11" i="5" s="1"/>
  <c r="D9" i="12"/>
  <c r="F8" i="12"/>
  <c r="E8" i="12" s="1"/>
  <c r="O11" i="2"/>
  <c r="M10" i="2"/>
  <c r="M4" i="1"/>
  <c r="F4" i="11" s="1"/>
  <c r="I12" i="12"/>
  <c r="J11" i="12"/>
  <c r="BK10" i="5" l="1" a="1"/>
  <c r="BK10" i="5" s="1"/>
  <c r="AY10" i="5" a="1"/>
  <c r="AY10" i="5" s="1"/>
  <c r="BL10" i="5" a="1"/>
  <c r="BL10" i="5" s="1"/>
  <c r="AD9" i="1" s="1"/>
  <c r="CV10" i="5"/>
  <c r="CU10" i="5"/>
  <c r="CT10" i="5"/>
  <c r="CW10" i="5"/>
  <c r="CS10" i="5"/>
  <c r="CR10" i="5"/>
  <c r="CQ10" i="5"/>
  <c r="BC10" i="5" a="1"/>
  <c r="BC10" i="5" s="1"/>
  <c r="BC11" i="5" s="1" a="1"/>
  <c r="BC11"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S5" i="8"/>
  <c r="BY5" i="8" s="1"/>
  <c r="D6" i="9"/>
  <c r="V8" i="2"/>
  <c r="O4" i="8"/>
  <c r="R4" i="8"/>
  <c r="CJ4" i="8"/>
  <c r="CN4" i="8" s="1"/>
  <c r="AO5" i="5"/>
  <c r="AV6" i="5"/>
  <c r="BP9" i="5" a="1"/>
  <c r="BP9" i="5" s="1"/>
  <c r="BO5" i="8"/>
  <c r="AG5" i="7"/>
  <c r="AI5" i="7" s="1"/>
  <c r="AG4" i="7"/>
  <c r="AI4" i="7" s="1"/>
  <c r="Z4" i="8" s="1"/>
  <c r="B4" i="8" s="1"/>
  <c r="D4" i="2" s="1"/>
  <c r="O14" i="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BN11" i="5" s="1" a="1"/>
  <c r="BN11" i="5" s="1"/>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Q6" i="1" s="1"/>
  <c r="W6" i="8"/>
  <c r="CW6" i="8" s="1"/>
  <c r="C7" i="5"/>
  <c r="F7" i="5" s="1"/>
  <c r="AW7" i="5" s="1"/>
  <c r="AC7" i="1"/>
  <c r="DI8" i="5"/>
  <c r="AB8" i="1"/>
  <c r="AF17" i="9"/>
  <c r="AJ17" i="9"/>
  <c r="AD17" i="9"/>
  <c r="B8" i="5"/>
  <c r="S10" i="2"/>
  <c r="P11" i="2"/>
  <c r="N11" i="2"/>
  <c r="R11" i="2"/>
  <c r="Q10" i="2"/>
  <c r="D10" i="12"/>
  <c r="F9" i="12"/>
  <c r="E9" i="12" s="1"/>
  <c r="J12" i="10"/>
  <c r="N12" i="5" s="1"/>
  <c r="M11" i="2"/>
  <c r="O12" i="2"/>
  <c r="I13" i="12"/>
  <c r="J12" i="12"/>
  <c r="BZ5" i="8" l="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AD10" i="1" s="1"/>
  <c r="CQ11" i="5"/>
  <c r="CT11" i="5"/>
  <c r="CV11" i="5"/>
  <c r="CW11" i="5"/>
  <c r="CU11" i="5"/>
  <c r="CS11" i="5"/>
  <c r="CR11" i="5"/>
  <c r="BA11" i="5" a="1"/>
  <c r="BA11" i="5" s="1"/>
  <c r="BO11" i="5" a="1"/>
  <c r="BO11" i="5" s="1"/>
  <c r="BF11" i="5" a="1"/>
  <c r="BF11" i="5" s="1"/>
  <c r="BB11" i="5" a="1"/>
  <c r="BB11" i="5" s="1"/>
  <c r="BH11" i="5" a="1"/>
  <c r="BH11" i="5" s="1"/>
  <c r="BG11" i="5" a="1"/>
  <c r="BG11" i="5" s="1"/>
  <c r="V9" i="2"/>
  <c r="CL4" i="8"/>
  <c r="O5" i="8"/>
  <c r="F13" i="8"/>
  <c r="CJ5" i="8"/>
  <c r="CN5" i="8" s="1"/>
  <c r="AO6" i="5"/>
  <c r="AV7" i="5"/>
  <c r="BP10" i="5" a="1"/>
  <c r="BP10" i="5" s="1"/>
  <c r="O15" i="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Q7" i="1" s="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N13" i="5" s="1"/>
  <c r="I14" i="12"/>
  <c r="J13" i="12"/>
  <c r="BG12" i="5" l="1"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K13" i="5" s="1" a="1"/>
  <c r="BK13" i="5" s="1"/>
  <c r="BF12" i="5" a="1"/>
  <c r="BF12" i="5" s="1"/>
  <c r="AZ12" i="5" a="1"/>
  <c r="AZ12" i="5" s="1"/>
  <c r="BO12" i="5" a="1"/>
  <c r="BO12" i="5" s="1"/>
  <c r="BI12" i="5" a="1"/>
  <c r="BI12" i="5" s="1"/>
  <c r="BA12" i="5" a="1"/>
  <c r="BA12" i="5" s="1"/>
  <c r="BE12" i="5" a="1"/>
  <c r="BE12" i="5" s="1"/>
  <c r="BM12" i="5" a="1"/>
  <c r="BM12" i="5" s="1"/>
  <c r="BC12" i="5" a="1"/>
  <c r="BC12" i="5" s="1"/>
  <c r="BN12" i="5" a="1"/>
  <c r="BN12" i="5" s="1"/>
  <c r="V10" i="2"/>
  <c r="CL5" i="8"/>
  <c r="CY5" i="8" s="1"/>
  <c r="G5" i="1" s="1"/>
  <c r="M5" i="8" s="1"/>
  <c r="O6" i="8"/>
  <c r="F14" i="8"/>
  <c r="AO7" i="5"/>
  <c r="AV8" i="5"/>
  <c r="BP11" i="5" a="1"/>
  <c r="BP11" i="5" s="1"/>
  <c r="AG6" i="7"/>
  <c r="AI6" i="7" s="1"/>
  <c r="O16" i="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Q8" i="1" s="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N14" i="5" s="1"/>
  <c r="I15" i="12"/>
  <c r="J14" i="12"/>
  <c r="BN13" i="5" l="1" a="1"/>
  <c r="BN13" i="5" s="1"/>
  <c r="BC13" i="5" a="1"/>
  <c r="BC13" i="5" s="1"/>
  <c r="AD11" i="1"/>
  <c r="AY13" i="5" a="1"/>
  <c r="AY13" i="5" s="1"/>
  <c r="BL13" i="5" a="1"/>
  <c r="BL13" i="5" s="1"/>
  <c r="CQ13" i="5"/>
  <c r="CR13" i="5"/>
  <c r="CT13" i="5"/>
  <c r="CW13" i="5"/>
  <c r="CS13" i="5"/>
  <c r="CV13" i="5"/>
  <c r="CU13" i="5"/>
  <c r="BM13" i="5" a="1"/>
  <c r="BM13" i="5" s="1"/>
  <c r="BM14" i="5" s="1" a="1"/>
  <c r="BM14" i="5" s="1"/>
  <c r="BE13" i="5" a="1"/>
  <c r="BE13" i="5" s="1"/>
  <c r="BE14" i="5" s="1" a="1"/>
  <c r="BE14" i="5" s="1"/>
  <c r="BQ13" i="5" a="1"/>
  <c r="BQ13" i="5" s="1"/>
  <c r="BQ14" i="5" s="1" a="1"/>
  <c r="BQ14" i="5" s="1"/>
  <c r="BA13" i="5" a="1"/>
  <c r="BA13" i="5" s="1"/>
  <c r="BA14" i="5" s="1" a="1"/>
  <c r="BA14" i="5" s="1"/>
  <c r="BB13" i="5" a="1"/>
  <c r="BB13" i="5" s="1"/>
  <c r="BI13" i="5" a="1"/>
  <c r="BI13" i="5" s="1"/>
  <c r="BJ13" i="5" a="1"/>
  <c r="BJ13" i="5" s="1"/>
  <c r="BJ14" i="5" s="1" a="1"/>
  <c r="BJ14" i="5" s="1"/>
  <c r="BO13" i="5" a="1"/>
  <c r="BO13" i="5" s="1"/>
  <c r="BO14" i="5" s="1" a="1"/>
  <c r="BO14" i="5" s="1"/>
  <c r="BH13" i="5" a="1"/>
  <c r="BH13" i="5" s="1"/>
  <c r="AZ13" i="5" a="1"/>
  <c r="AZ13" i="5" s="1"/>
  <c r="AZ14" i="5" s="1" a="1"/>
  <c r="AZ14" i="5" s="1"/>
  <c r="BD13" i="5" a="1"/>
  <c r="BD13" i="5" s="1"/>
  <c r="BD14" i="5" s="1" a="1"/>
  <c r="BD14" i="5" s="1"/>
  <c r="BF13" i="5" a="1"/>
  <c r="BF13" i="5" s="1"/>
  <c r="BF14" i="5" s="1" a="1"/>
  <c r="BF14" i="5" s="1"/>
  <c r="BG13" i="5" a="1"/>
  <c r="BG13" i="5" s="1"/>
  <c r="BG14" i="5" s="1" a="1"/>
  <c r="BG14" i="5" s="1"/>
  <c r="V11" i="2"/>
  <c r="F15" i="8"/>
  <c r="F16" i="8" s="1"/>
  <c r="AO8" i="5"/>
  <c r="AV9" i="5"/>
  <c r="BP12" i="5" a="1"/>
  <c r="BP12" i="5" s="1"/>
  <c r="AG7" i="7"/>
  <c r="AI7" i="7" s="1"/>
  <c r="O17" i="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CA14" i="14" s="1"/>
  <c r="A14" i="5"/>
  <c r="BK14" i="5" s="1" a="1"/>
  <c r="BK14" i="5" s="1"/>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Q9" i="1" s="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N15" i="5" s="1"/>
  <c r="D13" i="12"/>
  <c r="F12" i="12"/>
  <c r="E12" i="12" s="1"/>
  <c r="J15" i="12"/>
  <c r="I16" i="12"/>
  <c r="AD12" i="1" l="1"/>
  <c r="BH14" i="5" a="1"/>
  <c r="BH14" i="5" s="1"/>
  <c r="BI14" i="5" a="1"/>
  <c r="BI14" i="5" s="1"/>
  <c r="BI15" i="5" s="1" a="1"/>
  <c r="BI15" i="5" s="1"/>
  <c r="BC14" i="5" a="1"/>
  <c r="BC14" i="5" s="1"/>
  <c r="BC15" i="5" s="1" a="1"/>
  <c r="BC15" i="5" s="1"/>
  <c r="AY14" i="5" a="1"/>
  <c r="AY14" i="5" s="1"/>
  <c r="BL14" i="5" a="1"/>
  <c r="BL14" i="5" s="1"/>
  <c r="CQ14" i="5"/>
  <c r="CS14" i="5"/>
  <c r="CR14" i="5"/>
  <c r="CW14" i="5"/>
  <c r="CU14" i="5"/>
  <c r="CT14" i="5"/>
  <c r="CV14" i="5"/>
  <c r="BB14" i="5" a="1"/>
  <c r="BB14" i="5" s="1"/>
  <c r="BN14" i="5" a="1"/>
  <c r="BN14" i="5" s="1"/>
  <c r="V12" i="2"/>
  <c r="E16" i="8"/>
  <c r="E17" i="8" s="1"/>
  <c r="CQ7" i="8"/>
  <c r="CR7" i="8" s="1"/>
  <c r="O7" i="8"/>
  <c r="F17" i="8"/>
  <c r="AO9" i="5"/>
  <c r="AV10" i="5"/>
  <c r="BP13" i="5" a="1"/>
  <c r="BP13" i="5" s="1"/>
  <c r="W10" i="8"/>
  <c r="CW10" i="8" s="1"/>
  <c r="AG8" i="7"/>
  <c r="AI8" i="7" s="1"/>
  <c r="O18" i="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Z15" i="5" s="1" a="1"/>
  <c r="AZ15" i="5" s="1"/>
  <c r="A15" i="7"/>
  <c r="R15" i="7" s="1"/>
  <c r="A15" i="2"/>
  <c r="A15" i="9"/>
  <c r="A15" i="8"/>
  <c r="DD12" i="5"/>
  <c r="AK13" i="11"/>
  <c r="AD14" i="8"/>
  <c r="AR14" i="8"/>
  <c r="AE11" i="1"/>
  <c r="W11" i="1" s="1"/>
  <c r="AF11" i="1"/>
  <c r="BT10" i="5"/>
  <c r="A10" i="11"/>
  <c r="AC9" i="11" s="1"/>
  <c r="T9" i="8" s="1"/>
  <c r="E10" i="1"/>
  <c r="Q10" i="1" s="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N16" i="5" s="1"/>
  <c r="M15" i="2"/>
  <c r="J16" i="12"/>
  <c r="I17" i="12"/>
  <c r="J17" i="12" s="1"/>
  <c r="AD13" i="1" l="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CY7" i="8"/>
  <c r="G7" i="1" s="1"/>
  <c r="M7" i="8" s="1"/>
  <c r="O9" i="8"/>
  <c r="F18" i="8"/>
  <c r="AO10" i="5"/>
  <c r="AV11" i="5"/>
  <c r="BP14" i="5" a="1"/>
  <c r="BP14" i="5" s="1"/>
  <c r="DA11" i="8"/>
  <c r="DB11" i="8" s="1"/>
  <c r="AG9" i="7"/>
  <c r="AI9" i="7" s="1"/>
  <c r="O19" i="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BI16" i="5" s="1" a="1"/>
  <c r="BI16" i="5" s="1"/>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Q11" i="1" s="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AD14" i="1" l="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D11" i="8"/>
  <c r="CT11" i="8" s="1"/>
  <c r="CJ11" i="8"/>
  <c r="CN11" i="8" s="1"/>
  <c r="F19" i="8"/>
  <c r="CJ10" i="8"/>
  <c r="CN10" i="8" s="1"/>
  <c r="AO11" i="5"/>
  <c r="AV12" i="5"/>
  <c r="BP15" i="5" a="1"/>
  <c r="BP15" i="5" s="1"/>
  <c r="DA12" i="8"/>
  <c r="DB12" i="8" s="1"/>
  <c r="AG10" i="7"/>
  <c r="AI10" i="7" s="1"/>
  <c r="AG11" i="7"/>
  <c r="AI11" i="7" s="1"/>
  <c r="O20" i="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Q12" i="1" s="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D15" i="1" l="1"/>
  <c r="CT17" i="5"/>
  <c r="CR17" i="5"/>
  <c r="CU17" i="5"/>
  <c r="CV17" i="5"/>
  <c r="CW17" i="5"/>
  <c r="CQ17" i="5"/>
  <c r="CS17" i="5"/>
  <c r="AY17" i="5" a="1"/>
  <c r="AY17" i="5" s="1"/>
  <c r="BL17" i="5" a="1"/>
  <c r="BL17" i="5" s="1"/>
  <c r="AZ17" i="5" a="1"/>
  <c r="AZ17" i="5" s="1"/>
  <c r="BM17" i="5" a="1"/>
  <c r="BM17" i="5" s="1"/>
  <c r="BQ17" i="5" a="1"/>
  <c r="BQ17" i="5" s="1"/>
  <c r="BQ18" i="5" s="1" a="1"/>
  <c r="BQ18" i="5" s="1"/>
  <c r="BO17" i="5" a="1"/>
  <c r="BO17" i="5" s="1"/>
  <c r="BO18" i="5" s="1" a="1"/>
  <c r="BO18" i="5" s="1"/>
  <c r="BC17" i="5" a="1"/>
  <c r="BC17" i="5" s="1"/>
  <c r="BC18" i="5" s="1" a="1"/>
  <c r="BC18" i="5" s="1"/>
  <c r="BG17" i="5" a="1"/>
  <c r="BG17" i="5" s="1"/>
  <c r="BG18" i="5" s="1" a="1"/>
  <c r="BG18" i="5" s="1"/>
  <c r="BD17" i="5" a="1"/>
  <c r="BD17" i="5" s="1"/>
  <c r="BD18" i="5" s="1" a="1"/>
  <c r="BD18" i="5" s="1"/>
  <c r="BB17" i="5" a="1"/>
  <c r="BB17" i="5" s="1"/>
  <c r="BJ17" i="5" a="1"/>
  <c r="BJ17" i="5" s="1"/>
  <c r="BF17" i="5" a="1"/>
  <c r="BF17" i="5" s="1"/>
  <c r="BH17" i="5" a="1"/>
  <c r="BH17" i="5" s="1"/>
  <c r="BH18" i="5" s="1" a="1"/>
  <c r="BH18" i="5" s="1"/>
  <c r="BN17" i="5" a="1"/>
  <c r="BN17" i="5" s="1"/>
  <c r="BE17" i="5" a="1"/>
  <c r="BE17" i="5" s="1"/>
  <c r="BA17" i="5" a="1"/>
  <c r="BA17" i="5" s="1"/>
  <c r="BA18" i="5" s="1" a="1"/>
  <c r="BA18" i="5" s="1"/>
  <c r="BK17" i="5" a="1"/>
  <c r="BK17" i="5" s="1"/>
  <c r="BK18" i="5" s="1" a="1"/>
  <c r="BK18" i="5" s="1"/>
  <c r="BI17" i="5" a="1"/>
  <c r="BI17" i="5" s="1"/>
  <c r="BI18" i="5" s="1" a="1"/>
  <c r="BI18" i="5" s="1"/>
  <c r="CU11" i="8"/>
  <c r="V15" i="2"/>
  <c r="CD12" i="8"/>
  <c r="CT12" i="8" s="1"/>
  <c r="CU12" i="8" s="1"/>
  <c r="CL10" i="8"/>
  <c r="CQ10" i="8"/>
  <c r="CR10" i="8" s="1"/>
  <c r="O10" i="8"/>
  <c r="F20" i="8"/>
  <c r="AO12" i="5"/>
  <c r="AV13" i="5"/>
  <c r="BP16" i="5" a="1"/>
  <c r="BP16" i="5" s="1"/>
  <c r="B13" i="9"/>
  <c r="X13" i="9" s="1"/>
  <c r="O21" i="1"/>
  <c r="BS12" i="8"/>
  <c r="BY12" i="8" s="1"/>
  <c r="BO12" i="8"/>
  <c r="BK12" i="8"/>
  <c r="BL12" i="8"/>
  <c r="BI12" i="8"/>
  <c r="BJ12" i="8"/>
  <c r="BG12" i="8"/>
  <c r="BH12" i="8"/>
  <c r="BF12" i="8"/>
  <c r="AC12" i="10"/>
  <c r="X12" i="10" s="1"/>
  <c r="AN12" i="5"/>
  <c r="AM12" i="5"/>
  <c r="AT16" i="5"/>
  <c r="AS16" i="5"/>
  <c r="E20" i="8"/>
  <c r="CA88" i="8"/>
  <c r="AH16" i="11"/>
  <c r="DF15" i="5"/>
  <c r="DE15" i="5"/>
  <c r="AK16" i="11"/>
  <c r="K18" i="11"/>
  <c r="A18" i="14"/>
  <c r="CA18" i="14" s="1"/>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Q13" i="1" s="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AD16" i="1" l="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CY10" i="8"/>
  <c r="G10" i="1" s="1"/>
  <c r="M10" i="8" s="1"/>
  <c r="O12" i="8"/>
  <c r="CJ12" i="8"/>
  <c r="CN12" i="8" s="1"/>
  <c r="F21" i="8"/>
  <c r="AO13" i="5"/>
  <c r="AV14" i="5"/>
  <c r="BP17" i="5" a="1"/>
  <c r="BP17" i="5" s="1"/>
  <c r="AG12" i="7"/>
  <c r="AI12" i="7" s="1"/>
  <c r="O22" i="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BO19" i="5" s="1" a="1"/>
  <c r="BO19" i="5" s="1"/>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Q14" i="1" s="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N20" i="5" s="1"/>
  <c r="O20" i="2"/>
  <c r="BH19" i="5" l="1" a="1"/>
  <c r="BH19" i="5" s="1"/>
  <c r="BN19" i="5" a="1"/>
  <c r="BN19" i="5" s="1"/>
  <c r="CS19" i="5"/>
  <c r="CV19" i="5"/>
  <c r="CQ19" i="5"/>
  <c r="CW19" i="5"/>
  <c r="CT19" i="5"/>
  <c r="CR19" i="5"/>
  <c r="CU19" i="5"/>
  <c r="BL19" i="5" a="1"/>
  <c r="BL19" i="5" s="1"/>
  <c r="AY19" i="5" a="1"/>
  <c r="AY19" i="5" s="1"/>
  <c r="BB19" i="5" a="1"/>
  <c r="BB19" i="5" s="1"/>
  <c r="BB20" i="5" s="1" a="1"/>
  <c r="BB20" i="5" s="1"/>
  <c r="BE19" i="5" a="1"/>
  <c r="BE19" i="5" s="1"/>
  <c r="BJ19" i="5" a="1"/>
  <c r="BJ19" i="5" s="1"/>
  <c r="BJ20" i="5" s="1" a="1"/>
  <c r="BJ20"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L12" i="8"/>
  <c r="CY12" i="8" s="1"/>
  <c r="G12" i="1" s="1"/>
  <c r="M12" i="8" s="1"/>
  <c r="CJ13" i="8"/>
  <c r="CN13" i="8" s="1"/>
  <c r="F22" i="8"/>
  <c r="AO14" i="5"/>
  <c r="AV15" i="5"/>
  <c r="BP18" i="5" a="1"/>
  <c r="BP18" i="5" s="1"/>
  <c r="BD15" i="8"/>
  <c r="BP15" i="8" s="1"/>
  <c r="AG13" i="7"/>
  <c r="AI13" i="7" s="1"/>
  <c r="O23" i="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CA20" i="14" s="1"/>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Q15" i="1" s="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AD18" i="1" l="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L13" i="8"/>
  <c r="O14" i="8"/>
  <c r="BO15" i="8"/>
  <c r="F23" i="8"/>
  <c r="BS15" i="8"/>
  <c r="BY15" i="8" s="1"/>
  <c r="AO15" i="5"/>
  <c r="AV16" i="5"/>
  <c r="BP19" i="5" a="1"/>
  <c r="BP19" i="5" s="1"/>
  <c r="AG14" i="7"/>
  <c r="AI14" i="7" s="1"/>
  <c r="O24" i="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CA21" i="14" s="1"/>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Q16" i="1" s="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D19" i="1" l="1"/>
  <c r="CS21" i="5"/>
  <c r="CV21" i="5"/>
  <c r="CR21" i="5"/>
  <c r="CQ21" i="5"/>
  <c r="CW21" i="5"/>
  <c r="CU21" i="5"/>
  <c r="CT21" i="5"/>
  <c r="AY21" i="5" a="1"/>
  <c r="AY21" i="5" s="1"/>
  <c r="BL21" i="5" a="1"/>
  <c r="BL21" i="5" s="1"/>
  <c r="BO21" i="5" a="1"/>
  <c r="BO21" i="5" s="1"/>
  <c r="BA21" i="5" a="1"/>
  <c r="BA21" i="5" s="1"/>
  <c r="CY13" i="8"/>
  <c r="G13" i="1" s="1"/>
  <c r="M13" i="8" s="1"/>
  <c r="BB21" i="5" a="1"/>
  <c r="BB21" i="5" s="1"/>
  <c r="BB22" i="5" s="1" a="1"/>
  <c r="BB22" i="5" s="1"/>
  <c r="BH21" i="5" a="1"/>
  <c r="BH21" i="5" s="1"/>
  <c r="BH22" i="5" s="1" a="1"/>
  <c r="BH22" i="5" s="1"/>
  <c r="BM21" i="5" a="1"/>
  <c r="BM21" i="5" s="1"/>
  <c r="BM22" i="5" s="1" a="1"/>
  <c r="BM22" i="5" s="1"/>
  <c r="BN21" i="5" a="1"/>
  <c r="BN21" i="5" s="1"/>
  <c r="BN22" i="5" s="1" a="1"/>
  <c r="BN22" i="5" s="1"/>
  <c r="BQ21" i="5" a="1"/>
  <c r="BQ21" i="5" s="1"/>
  <c r="BK21" i="5" a="1"/>
  <c r="BK21" i="5" s="1"/>
  <c r="BD21" i="5" a="1"/>
  <c r="BD21" i="5" s="1"/>
  <c r="BF21" i="5" a="1"/>
  <c r="BF21" i="5" s="1"/>
  <c r="BJ21" i="5" a="1"/>
  <c r="BJ21" i="5" s="1"/>
  <c r="AZ21" i="5" a="1"/>
  <c r="AZ21" i="5" s="1"/>
  <c r="BC21" i="5" a="1"/>
  <c r="BC21" i="5" s="1"/>
  <c r="BI21" i="5" a="1"/>
  <c r="BI21" i="5" s="1"/>
  <c r="BE21" i="5" a="1"/>
  <c r="BE21" i="5" s="1"/>
  <c r="BE22" i="5" s="1" a="1"/>
  <c r="BE22" i="5" s="1"/>
  <c r="BG21" i="5" a="1"/>
  <c r="BG21" i="5" s="1"/>
  <c r="BG22" i="5" s="1" a="1"/>
  <c r="BG22" i="5" s="1"/>
  <c r="V19" i="2"/>
  <c r="BZ15" i="8"/>
  <c r="CQ15" i="8" s="1"/>
  <c r="CR15" i="8" s="1"/>
  <c r="O15" i="8"/>
  <c r="CJ15" i="8"/>
  <c r="CN15" i="8" s="1"/>
  <c r="F24" i="8"/>
  <c r="AO16" i="5"/>
  <c r="AV17" i="5"/>
  <c r="BP20" i="5" a="1"/>
  <c r="BP20" i="5" s="1"/>
  <c r="AG15" i="7"/>
  <c r="AI15" i="7" s="1"/>
  <c r="O25" i="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Q17" i="1" s="1"/>
  <c r="CZ19" i="5"/>
  <c r="AE16" i="7"/>
  <c r="AF16" i="7" s="1"/>
  <c r="Q16" i="7"/>
  <c r="AC18" i="1"/>
  <c r="DA18" i="5"/>
  <c r="DG18" i="5" s="1" a="1"/>
  <c r="DG18" i="5" s="1"/>
  <c r="DI19" i="5"/>
  <c r="AB19" i="1"/>
  <c r="AF28" i="9"/>
  <c r="AJ28" i="9"/>
  <c r="AD90" i="9"/>
  <c r="B12" i="14"/>
  <c r="S21" i="2"/>
  <c r="P22" i="2"/>
  <c r="N22" i="2"/>
  <c r="R22" i="2"/>
  <c r="Q21" i="2"/>
  <c r="P23" i="2"/>
  <c r="J23" i="10"/>
  <c r="N23" i="5" s="1"/>
  <c r="M22" i="2"/>
  <c r="O23" i="2"/>
  <c r="AD20" i="1" l="1"/>
  <c r="BA22" i="5" a="1"/>
  <c r="BA22" i="5" s="1"/>
  <c r="BA23" i="5" s="1" a="1"/>
  <c r="BA23" i="5" s="1"/>
  <c r="BO22" i="5" a="1"/>
  <c r="BO22" i="5" s="1"/>
  <c r="BO23" i="5" s="1" a="1"/>
  <c r="BO23" i="5" s="1"/>
  <c r="BI22" i="5" a="1"/>
  <c r="BI22" i="5" s="1"/>
  <c r="BI23" i="5" s="1" a="1"/>
  <c r="BI23" i="5" s="1"/>
  <c r="BC22" i="5" a="1"/>
  <c r="BC22" i="5" s="1"/>
  <c r="BC23" i="5" s="1" a="1"/>
  <c r="BC23" i="5" s="1"/>
  <c r="BN23" i="5" a="1"/>
  <c r="BN23" i="5" s="1"/>
  <c r="AZ22" i="5" a="1"/>
  <c r="AZ22" i="5" s="1"/>
  <c r="AZ23" i="5" s="1" a="1"/>
  <c r="AZ23" i="5" s="1"/>
  <c r="BJ22" i="5" a="1"/>
  <c r="BJ22" i="5" s="1"/>
  <c r="BJ23" i="5" s="1" a="1"/>
  <c r="BJ23" i="5" s="1"/>
  <c r="BF22" i="5" a="1"/>
  <c r="BF22" i="5" s="1"/>
  <c r="BF23" i="5" s="1" a="1"/>
  <c r="BF23" i="5" s="1"/>
  <c r="BB23" i="5" a="1"/>
  <c r="BB23" i="5" s="1"/>
  <c r="BD22" i="5" a="1"/>
  <c r="BD22" i="5" s="1"/>
  <c r="BD23" i="5" s="1" a="1"/>
  <c r="BD23" i="5" s="1"/>
  <c r="CT22" i="5"/>
  <c r="CR22" i="5"/>
  <c r="CQ22" i="5"/>
  <c r="CS22" i="5"/>
  <c r="CU22" i="5"/>
  <c r="CV22" i="5"/>
  <c r="CW22" i="5"/>
  <c r="AY22" i="5" a="1"/>
  <c r="AY22" i="5" s="1"/>
  <c r="BL22" i="5" a="1"/>
  <c r="BL22" i="5" s="1"/>
  <c r="AD21" i="1" s="1"/>
  <c r="BK22" i="5" a="1"/>
  <c r="BK22" i="5" s="1"/>
  <c r="BK23" i="5" s="1" a="1"/>
  <c r="BK23" i="5" s="1"/>
  <c r="BQ22" i="5" a="1"/>
  <c r="BQ22" i="5" s="1"/>
  <c r="BQ23" i="5" s="1" a="1"/>
  <c r="BQ23" i="5" s="1"/>
  <c r="V20" i="2"/>
  <c r="CL15" i="8"/>
  <c r="CY15" i="8" s="1"/>
  <c r="G15" i="1" s="1"/>
  <c r="M15" i="8" s="1"/>
  <c r="F25" i="8"/>
  <c r="AO17" i="5"/>
  <c r="AV18" i="5"/>
  <c r="BP21" i="5" a="1"/>
  <c r="BP21" i="5" s="1"/>
  <c r="AI18" i="5"/>
  <c r="AN18" i="5" s="1"/>
  <c r="AG16" i="7"/>
  <c r="AI16" i="7" s="1"/>
  <c r="O26" i="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CA23" i="14" s="1"/>
  <c r="A23" i="5"/>
  <c r="BH23" i="5" s="1" a="1"/>
  <c r="BH23" i="5" s="1"/>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Q18" i="1" s="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N24" i="5" s="1"/>
  <c r="BE23" i="5" l="1" a="1"/>
  <c r="BE23" i="5" s="1"/>
  <c r="BG23" i="5" a="1"/>
  <c r="BG23" i="5" s="1"/>
  <c r="BG24" i="5" s="1" a="1"/>
  <c r="BG24" i="5" s="1"/>
  <c r="CR23" i="5"/>
  <c r="CS23" i="5"/>
  <c r="CQ23" i="5"/>
  <c r="CU23" i="5"/>
  <c r="CT23" i="5"/>
  <c r="CV23" i="5"/>
  <c r="CW23" i="5"/>
  <c r="AY23" i="5" a="1"/>
  <c r="AY23" i="5" s="1"/>
  <c r="BL23" i="5" a="1"/>
  <c r="BL23" i="5" s="1"/>
  <c r="AD22" i="1" s="1"/>
  <c r="BM23" i="5" a="1"/>
  <c r="BM23" i="5" s="1"/>
  <c r="V21" i="2"/>
  <c r="O17" i="8"/>
  <c r="CQ16" i="8"/>
  <c r="CR16" i="8" s="1"/>
  <c r="O16" i="8"/>
  <c r="F26" i="8"/>
  <c r="AO18" i="5"/>
  <c r="AV19" i="5"/>
  <c r="AM18" i="5"/>
  <c r="BP22" i="5" a="1"/>
  <c r="BP22" i="5" s="1"/>
  <c r="AG17" i="7"/>
  <c r="AI17" i="7" s="1"/>
  <c r="O27" i="1"/>
  <c r="BO18" i="8"/>
  <c r="BK18" i="8"/>
  <c r="BL18" i="8"/>
  <c r="BI18" i="8"/>
  <c r="BJ18" i="8"/>
  <c r="BG18" i="8"/>
  <c r="BH18" i="8"/>
  <c r="BF18" i="8"/>
  <c r="AC18" i="10"/>
  <c r="AT22" i="5"/>
  <c r="AA18" i="10"/>
  <c r="AS22" i="5"/>
  <c r="AH22" i="11"/>
  <c r="E26" i="8"/>
  <c r="CA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Q19" i="1" s="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N25" i="5" s="1"/>
  <c r="O25" i="2"/>
  <c r="P25" i="2"/>
  <c r="M24" i="2"/>
  <c r="CQ24" i="5" l="1"/>
  <c r="CV24" i="5"/>
  <c r="CU24" i="5"/>
  <c r="CT24" i="5"/>
  <c r="CS24" i="5"/>
  <c r="CR24" i="5"/>
  <c r="CW24" i="5"/>
  <c r="BL24" i="5" a="1"/>
  <c r="BL24" i="5" s="1"/>
  <c r="AY24" i="5" a="1"/>
  <c r="AY24" i="5" s="1"/>
  <c r="BA24" i="5" a="1"/>
  <c r="BA24" i="5" s="1"/>
  <c r="BO24" i="5" a="1"/>
  <c r="BO24" i="5" s="1"/>
  <c r="BI24" i="5" a="1"/>
  <c r="BI24" i="5" s="1"/>
  <c r="BI25" i="5" s="1" a="1"/>
  <c r="BI25" i="5" s="1"/>
  <c r="BM24" i="5" a="1"/>
  <c r="BM24" i="5" s="1"/>
  <c r="BM25" i="5" s="1" a="1"/>
  <c r="BM25" i="5" s="1"/>
  <c r="BJ24" i="5" a="1"/>
  <c r="BJ24" i="5" s="1"/>
  <c r="BJ25" i="5" s="1" a="1"/>
  <c r="BJ25" i="5" s="1"/>
  <c r="BC24" i="5" a="1"/>
  <c r="BC24" i="5" s="1"/>
  <c r="BC25" i="5" s="1" a="1"/>
  <c r="BC25" i="5" s="1"/>
  <c r="BK24" i="5" a="1"/>
  <c r="BK24" i="5" s="1"/>
  <c r="BK25" i="5" s="1" a="1"/>
  <c r="BK25" i="5" s="1"/>
  <c r="BE24" i="5" a="1"/>
  <c r="BE24" i="5" s="1"/>
  <c r="BN24" i="5" a="1"/>
  <c r="BN24" i="5" s="1"/>
  <c r="BQ24" i="5" a="1"/>
  <c r="BQ24" i="5" s="1"/>
  <c r="AZ24" i="5" a="1"/>
  <c r="AZ24" i="5" s="1"/>
  <c r="BF24" i="5" a="1"/>
  <c r="BF24" i="5" s="1"/>
  <c r="BB24" i="5" a="1"/>
  <c r="BB24" i="5" s="1"/>
  <c r="BD24" i="5" a="1"/>
  <c r="BD24" i="5" s="1"/>
  <c r="BH24" i="5" a="1"/>
  <c r="BH24" i="5" s="1"/>
  <c r="V22" i="2"/>
  <c r="CY16" i="8"/>
  <c r="G16" i="1" s="1"/>
  <c r="M16" i="8" s="1"/>
  <c r="O18" i="8"/>
  <c r="CJ18" i="8"/>
  <c r="CN18" i="8" s="1"/>
  <c r="F27" i="8"/>
  <c r="AQ18" i="5"/>
  <c r="AO19" i="5"/>
  <c r="AV20" i="5"/>
  <c r="BP23" i="5" a="1"/>
  <c r="BP23" i="5" s="1"/>
  <c r="AG18" i="7"/>
  <c r="AI18" i="7" s="1"/>
  <c r="O28" i="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CA25" i="14" s="1"/>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Q20" i="1" s="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N26" i="5" s="1"/>
  <c r="AD23" i="1" l="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L18" i="8"/>
  <c r="CY18" i="8" s="1"/>
  <c r="G18" i="1" s="1"/>
  <c r="M18" i="8" s="1"/>
  <c r="F28" i="8"/>
  <c r="AO20" i="5"/>
  <c r="AV21" i="5"/>
  <c r="BP24" i="5" a="1"/>
  <c r="BP24" i="5" s="1"/>
  <c r="DA21" i="8"/>
  <c r="DB21" i="8" s="1"/>
  <c r="AG19" i="7"/>
  <c r="AI19" i="7" s="1"/>
  <c r="O29" i="1"/>
  <c r="BO20" i="8"/>
  <c r="BK20" i="8"/>
  <c r="BL20" i="8"/>
  <c r="BI20" i="8"/>
  <c r="BJ20" i="8"/>
  <c r="BG20" i="8"/>
  <c r="BH20" i="8"/>
  <c r="BF20" i="8"/>
  <c r="AC20" i="10"/>
  <c r="X20" i="10" s="1"/>
  <c r="AM20" i="5"/>
  <c r="AN20" i="5"/>
  <c r="AH24" i="11"/>
  <c r="AS24" i="5"/>
  <c r="E28" i="8"/>
  <c r="CA96" i="8"/>
  <c r="AM24" i="1"/>
  <c r="AK24" i="11"/>
  <c r="DF23" i="5"/>
  <c r="DB23" i="5"/>
  <c r="DE23" i="5"/>
  <c r="K26" i="11"/>
  <c r="A26" i="14"/>
  <c r="CA26" i="14" s="1"/>
  <c r="A26" i="9"/>
  <c r="A26" i="2"/>
  <c r="A26" i="7"/>
  <c r="R26" i="7" s="1"/>
  <c r="A26" i="8"/>
  <c r="A26" i="5"/>
  <c r="BK26" i="5" s="1" a="1"/>
  <c r="BK26" i="5" s="1"/>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Q21" i="1" s="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N27" i="5" s="1"/>
  <c r="P27" i="2"/>
  <c r="AD24" i="1" l="1"/>
  <c r="BQ26" i="5" a="1"/>
  <c r="BQ26" i="5" s="1"/>
  <c r="AZ26" i="5" a="1"/>
  <c r="AZ26" i="5" s="1"/>
  <c r="BE26" i="5" a="1"/>
  <c r="BE26" i="5" s="1"/>
  <c r="BF26" i="5" a="1"/>
  <c r="BF26" i="5" s="1"/>
  <c r="CR26" i="5"/>
  <c r="CQ26" i="5"/>
  <c r="CV26" i="5"/>
  <c r="CU26" i="5"/>
  <c r="CT26" i="5"/>
  <c r="CW26" i="5"/>
  <c r="CS26" i="5"/>
  <c r="AY26" i="5" a="1"/>
  <c r="AY26" i="5" s="1"/>
  <c r="BL26" i="5" a="1"/>
  <c r="BL26" i="5" s="1"/>
  <c r="BN26" i="5" a="1"/>
  <c r="BN26" i="5" s="1"/>
  <c r="BN27" i="5" s="1" a="1"/>
  <c r="BN27" i="5" s="1"/>
  <c r="BB26" i="5" a="1"/>
  <c r="BB26" i="5" s="1"/>
  <c r="BB27" i="5" s="1" a="1"/>
  <c r="BB27" i="5" s="1"/>
  <c r="BG26" i="5" a="1"/>
  <c r="BG26" i="5" s="1"/>
  <c r="BD26" i="5" a="1"/>
  <c r="BD26" i="5" s="1"/>
  <c r="BA26" i="5" a="1"/>
  <c r="BA26" i="5" s="1"/>
  <c r="BM26" i="5" a="1"/>
  <c r="BM26" i="5" s="1"/>
  <c r="BH26" i="5" a="1"/>
  <c r="BH26" i="5" s="1"/>
  <c r="BO26" i="5" a="1"/>
  <c r="BO26" i="5" s="1"/>
  <c r="BI26" i="5" a="1"/>
  <c r="BI26" i="5" s="1"/>
  <c r="BJ26" i="5" a="1"/>
  <c r="BJ26" i="5" s="1"/>
  <c r="BC26" i="5" a="1"/>
  <c r="BC26" i="5" s="1"/>
  <c r="V24" i="2"/>
  <c r="CD21" i="8"/>
  <c r="CT21" i="8" s="1"/>
  <c r="O20" i="8"/>
  <c r="CQ19" i="8"/>
  <c r="CR19" i="8" s="1"/>
  <c r="O19" i="8"/>
  <c r="F29" i="8"/>
  <c r="AO21" i="5"/>
  <c r="AV22" i="5"/>
  <c r="BP25" i="5" a="1"/>
  <c r="BP25" i="5" s="1"/>
  <c r="AG21" i="7"/>
  <c r="AI21" i="7" s="1"/>
  <c r="AG20" i="7"/>
  <c r="AI20" i="7" s="1"/>
  <c r="O30" i="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Q22" i="1" s="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AD25" i="1" l="1"/>
  <c r="BC27" i="5" a="1"/>
  <c r="BC27" i="5" s="1"/>
  <c r="CT27" i="5"/>
  <c r="CV27" i="5"/>
  <c r="CW27" i="5"/>
  <c r="CQ27" i="5"/>
  <c r="CR27" i="5"/>
  <c r="CU27" i="5"/>
  <c r="CS27" i="5"/>
  <c r="AY27" i="5" a="1"/>
  <c r="AY27" i="5" s="1"/>
  <c r="BL27" i="5" a="1"/>
  <c r="BL27" i="5" s="1"/>
  <c r="AD26" i="1" s="1"/>
  <c r="BJ27" i="5" a="1"/>
  <c r="BJ27" i="5" s="1"/>
  <c r="BJ28" i="5" s="1" a="1"/>
  <c r="BJ28" i="5" s="1"/>
  <c r="BI27" i="5" a="1"/>
  <c r="BI27" i="5" s="1"/>
  <c r="BO27" i="5" a="1"/>
  <c r="BO27" i="5" s="1"/>
  <c r="BO28" i="5" s="1" a="1"/>
  <c r="BO28" i="5" s="1"/>
  <c r="BN28" i="5" a="1"/>
  <c r="BN28"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U21" i="8"/>
  <c r="CY19" i="8"/>
  <c r="G19" i="1" s="1"/>
  <c r="M19" i="8" s="1"/>
  <c r="CJ21" i="8"/>
  <c r="CN21" i="8" s="1"/>
  <c r="F30" i="8"/>
  <c r="AO22" i="5"/>
  <c r="AV23" i="5"/>
  <c r="BP26" i="5" a="1"/>
  <c r="BP26" i="5" s="1"/>
  <c r="DA23" i="8"/>
  <c r="DB23" i="8" s="1"/>
  <c r="O31" i="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Q23" i="1" s="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BI28" i="5" l="1"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AD27" i="1" s="1"/>
  <c r="BA28" i="5" a="1"/>
  <c r="BA28" i="5" s="1"/>
  <c r="BE28" i="5" a="1"/>
  <c r="BE28" i="5" s="1"/>
  <c r="BM28" i="5" a="1"/>
  <c r="BM28" i="5" s="1"/>
  <c r="BB28" i="5" a="1"/>
  <c r="BB28" i="5" s="1"/>
  <c r="BF28" i="5" a="1"/>
  <c r="BF28" i="5" s="1"/>
  <c r="BC28" i="5" a="1"/>
  <c r="BC28" i="5" s="1"/>
  <c r="BH28" i="5" a="1"/>
  <c r="BH28" i="5" s="1"/>
  <c r="BH29" i="5" s="1" a="1"/>
  <c r="BH29" i="5" s="1"/>
  <c r="V26" i="2"/>
  <c r="CL21" i="8"/>
  <c r="CD23" i="8"/>
  <c r="CT23" i="8" s="1"/>
  <c r="O22" i="8"/>
  <c r="F31" i="8"/>
  <c r="AO23" i="5"/>
  <c r="AV24" i="5"/>
  <c r="BP27" i="5" a="1"/>
  <c r="BP27" i="5" s="1"/>
  <c r="AG22" i="7"/>
  <c r="AI22" i="7" s="1"/>
  <c r="AG23" i="7"/>
  <c r="AI23" i="7" s="1"/>
  <c r="O32" i="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CA29" i="14" s="1"/>
  <c r="A29" i="9"/>
  <c r="A29" i="7"/>
  <c r="R29" i="7" s="1"/>
  <c r="A29" i="2"/>
  <c r="A29" i="5"/>
  <c r="BN29" i="5" s="1" a="1"/>
  <c r="BN29" i="5" s="1"/>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Q24" i="1" s="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N30" i="5" s="1"/>
  <c r="M29" i="2"/>
  <c r="P30" i="2"/>
  <c r="BO29" i="5" l="1"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AD28" i="1" s="1"/>
  <c r="BE29" i="5" a="1"/>
  <c r="BE29" i="5" s="1"/>
  <c r="BG29" i="5" a="1"/>
  <c r="BG29" i="5" s="1"/>
  <c r="BK29" i="5" a="1"/>
  <c r="BK29" i="5" s="1"/>
  <c r="BA29" i="5" a="1"/>
  <c r="BA29" i="5" s="1"/>
  <c r="BI29" i="5" a="1"/>
  <c r="BI29" i="5" s="1"/>
  <c r="CY21" i="8"/>
  <c r="G21" i="1" s="1"/>
  <c r="M21" i="8" s="1"/>
  <c r="V27" i="2"/>
  <c r="CU23" i="8"/>
  <c r="CJ23" i="8"/>
  <c r="CN23" i="8" s="1"/>
  <c r="F32" i="8"/>
  <c r="AO24" i="5"/>
  <c r="AV25" i="5"/>
  <c r="BP28" i="5" a="1"/>
  <c r="BP28" i="5" s="1"/>
  <c r="BE25" i="8"/>
  <c r="BN25" i="8" s="1"/>
  <c r="AT28" i="5"/>
  <c r="O33" i="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Q25" i="1" s="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N31" i="5" s="1"/>
  <c r="M30" i="2"/>
  <c r="O31" i="2"/>
  <c r="P31" i="2"/>
  <c r="BQ30" i="5" l="1"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L23" i="8"/>
  <c r="O24" i="8"/>
  <c r="F33" i="8"/>
  <c r="AO25" i="5"/>
  <c r="AV26" i="5"/>
  <c r="BP29" i="5" a="1"/>
  <c r="BP29" i="5" s="1"/>
  <c r="AG24" i="7"/>
  <c r="AI24" i="7" s="1"/>
  <c r="O34" i="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Q26" i="1" s="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D29" i="1" l="1"/>
  <c r="BC31" i="5" a="1"/>
  <c r="BC31" i="5" s="1"/>
  <c r="BF31" i="5" a="1"/>
  <c r="BF31" i="5" s="1"/>
  <c r="BE31" i="5" a="1"/>
  <c r="BE31" i="5" s="1"/>
  <c r="BN31" i="5" a="1"/>
  <c r="BN31" i="5" s="1"/>
  <c r="AZ31" i="5" a="1"/>
  <c r="AZ31" i="5" s="1"/>
  <c r="BH31" i="5" a="1"/>
  <c r="BH31" i="5" s="1"/>
  <c r="BG31" i="5" a="1"/>
  <c r="BG31" i="5" s="1"/>
  <c r="BJ31" i="5" a="1"/>
  <c r="BJ31" i="5" s="1"/>
  <c r="BJ32" i="5" s="1" a="1"/>
  <c r="BJ32" i="5" s="1"/>
  <c r="BO31" i="5" a="1"/>
  <c r="BO31" i="5" s="1"/>
  <c r="BO32" i="5" s="1" a="1"/>
  <c r="BO32" i="5" s="1"/>
  <c r="BK31" i="5" a="1"/>
  <c r="BK31" i="5" s="1"/>
  <c r="BK32" i="5" s="1" a="1"/>
  <c r="BK32" i="5" s="1"/>
  <c r="CU31" i="5"/>
  <c r="CQ31" i="5"/>
  <c r="CT31" i="5"/>
  <c r="CR31" i="5"/>
  <c r="CS31" i="5"/>
  <c r="CW31" i="5"/>
  <c r="CV31" i="5"/>
  <c r="AY31" i="5" a="1"/>
  <c r="AY31" i="5" s="1"/>
  <c r="BL31" i="5" a="1"/>
  <c r="BL31" i="5" s="1"/>
  <c r="BD31" i="5" a="1"/>
  <c r="BD31" i="5" s="1"/>
  <c r="BA31" i="5" a="1"/>
  <c r="BA31" i="5" s="1"/>
  <c r="BA32" i="5" s="1" a="1"/>
  <c r="BA32" i="5" s="1"/>
  <c r="BB31" i="5" a="1"/>
  <c r="BB31" i="5" s="1"/>
  <c r="BB32" i="5" s="1" a="1"/>
  <c r="BB32" i="5" s="1"/>
  <c r="BI31" i="5" a="1"/>
  <c r="BI31" i="5" s="1"/>
  <c r="BI32" i="5" s="1" a="1"/>
  <c r="BI32" i="5" s="1"/>
  <c r="BM31" i="5" a="1"/>
  <c r="BM31" i="5" s="1"/>
  <c r="BM32" i="5" s="1" a="1"/>
  <c r="BM32" i="5" s="1"/>
  <c r="BQ31" i="5" a="1"/>
  <c r="BQ31" i="5" s="1"/>
  <c r="BQ32" i="5" s="1" a="1"/>
  <c r="BQ32" i="5" s="1"/>
  <c r="CY23" i="8"/>
  <c r="G23" i="1" s="1"/>
  <c r="M23" i="8" s="1"/>
  <c r="V29" i="2"/>
  <c r="CJ25" i="8"/>
  <c r="CN25" i="8" s="1"/>
  <c r="F34" i="8"/>
  <c r="AO26" i="5"/>
  <c r="AV27" i="5"/>
  <c r="BP30" i="5" a="1"/>
  <c r="BP30" i="5" s="1"/>
  <c r="AG25" i="7"/>
  <c r="AI25" i="7" s="1"/>
  <c r="O35" i="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CA32" i="14" s="1"/>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Q27" i="1" s="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AD30" i="1" l="1"/>
  <c r="BQ33" i="5" a="1"/>
  <c r="BQ33" i="5" s="1"/>
  <c r="BG32" i="5" a="1"/>
  <c r="BG32" i="5" s="1"/>
  <c r="BH32" i="5" a="1"/>
  <c r="BH32" i="5" s="1"/>
  <c r="AZ32" i="5" a="1"/>
  <c r="AZ32" i="5" s="1"/>
  <c r="BD32" i="5" a="1"/>
  <c r="BD32" i="5" s="1"/>
  <c r="BN32" i="5" a="1"/>
  <c r="BN32" i="5" s="1"/>
  <c r="BN33" i="5" s="1" a="1"/>
  <c r="BN33" i="5" s="1"/>
  <c r="BE32" i="5" a="1"/>
  <c r="BE32" i="5" s="1"/>
  <c r="BE33" i="5" s="1" a="1"/>
  <c r="BE33" i="5" s="1"/>
  <c r="BF32" i="5" a="1"/>
  <c r="BF32" i="5" s="1"/>
  <c r="BF33" i="5" s="1" a="1"/>
  <c r="BF33" i="5" s="1"/>
  <c r="CV32" i="5"/>
  <c r="CT32" i="5"/>
  <c r="CS32" i="5"/>
  <c r="CR32" i="5"/>
  <c r="CU32" i="5"/>
  <c r="CQ32" i="5"/>
  <c r="CW32" i="5"/>
  <c r="AY32" i="5" a="1"/>
  <c r="AY32" i="5" s="1"/>
  <c r="BL32" i="5" a="1"/>
  <c r="BL32" i="5" s="1"/>
  <c r="BC32" i="5" a="1"/>
  <c r="BC32" i="5" s="1"/>
  <c r="V30" i="2"/>
  <c r="CL25" i="8"/>
  <c r="O26" i="8"/>
  <c r="F35" i="8"/>
  <c r="AO27" i="5"/>
  <c r="AV28" i="5"/>
  <c r="BP31" i="5" a="1"/>
  <c r="BP31" i="5" s="1"/>
  <c r="E28" i="1"/>
  <c r="Q28" i="1" s="1"/>
  <c r="AG26" i="7"/>
  <c r="AI26" i="7" s="1"/>
  <c r="O36" i="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CA33" i="14" s="1"/>
  <c r="A33" i="8"/>
  <c r="A33" i="2"/>
  <c r="A33" i="5"/>
  <c r="BB33" i="5" s="1" a="1"/>
  <c r="BB33" i="5" s="1"/>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AD31" i="1" l="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AD32" i="1" s="1"/>
  <c r="BI33" i="5" a="1"/>
  <c r="BI33" i="5" s="1"/>
  <c r="BJ33" i="5" a="1"/>
  <c r="BJ33" i="5" s="1"/>
  <c r="BM33" i="5" a="1"/>
  <c r="BM33" i="5" s="1"/>
  <c r="BO33" i="5" a="1"/>
  <c r="BO33" i="5" s="1"/>
  <c r="BK33" i="5" a="1"/>
  <c r="BK33" i="5" s="1"/>
  <c r="CY25" i="8"/>
  <c r="G25" i="1" s="1"/>
  <c r="M25" i="8" s="1"/>
  <c r="V31" i="2"/>
  <c r="O27" i="8"/>
  <c r="F36" i="8"/>
  <c r="AO28" i="5"/>
  <c r="AV29" i="5"/>
  <c r="BP32" i="5" a="1"/>
  <c r="BP32" i="5" s="1"/>
  <c r="DA29" i="8"/>
  <c r="DB29" i="8" s="1"/>
  <c r="AG27" i="7"/>
  <c r="AI27" i="7" s="1"/>
  <c r="O37" i="1"/>
  <c r="BZ27" i="8"/>
  <c r="CQ27" i="8" s="1"/>
  <c r="CR27" i="8" s="1"/>
  <c r="BS28" i="8"/>
  <c r="BY28" i="8" s="1"/>
  <c r="BO28" i="8"/>
  <c r="BK28" i="8"/>
  <c r="BL28" i="8"/>
  <c r="BI28" i="8"/>
  <c r="BJ28" i="8"/>
  <c r="BG28" i="8"/>
  <c r="BH28" i="8"/>
  <c r="BF28" i="8"/>
  <c r="AC28" i="10"/>
  <c r="X28" i="10" s="1"/>
  <c r="AN28" i="5"/>
  <c r="AM28" i="5"/>
  <c r="AH32" i="11"/>
  <c r="AS32" i="5"/>
  <c r="E36" i="8"/>
  <c r="CA104" i="8"/>
  <c r="E29" i="1"/>
  <c r="Q29" i="1" s="1"/>
  <c r="DB31" i="5"/>
  <c r="DF31" i="5"/>
  <c r="AK32" i="11"/>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BQ34" i="5" s="1" a="1"/>
  <c r="BQ34" i="5" s="1"/>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BK34" i="5" l="1"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D29" i="8"/>
  <c r="CT29" i="8" s="1"/>
  <c r="CU29" i="8" s="1"/>
  <c r="O28" i="8"/>
  <c r="F37" i="8"/>
  <c r="AO29" i="5"/>
  <c r="AV30" i="5"/>
  <c r="BP33" i="5" a="1"/>
  <c r="BP33" i="5" s="1"/>
  <c r="DA30" i="8"/>
  <c r="DB30" i="8" s="1"/>
  <c r="AG28" i="7"/>
  <c r="AI28" i="7" s="1"/>
  <c r="AG29" i="7"/>
  <c r="AI29" i="7" s="1"/>
  <c r="O38" i="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Q30" i="1" s="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D33" i="1" l="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D30" i="8"/>
  <c r="CT30" i="8" s="1"/>
  <c r="CU30" i="8" s="1"/>
  <c r="O29" i="8"/>
  <c r="CJ29" i="8"/>
  <c r="CN29" i="8" s="1"/>
  <c r="F38" i="8"/>
  <c r="AO30" i="5"/>
  <c r="AV31" i="5"/>
  <c r="BP34" i="5" a="1"/>
  <c r="BP34" i="5" s="1"/>
  <c r="A31" i="10"/>
  <c r="AA31" i="10" s="1"/>
  <c r="O39" i="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Q31" i="1" s="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N37" i="5" s="1"/>
  <c r="P37" i="2"/>
  <c r="AD34" i="1" l="1"/>
  <c r="CT36" i="5"/>
  <c r="CR36" i="5"/>
  <c r="CW36" i="5"/>
  <c r="CV36" i="5"/>
  <c r="CS36" i="5"/>
  <c r="CU36" i="5"/>
  <c r="CQ36" i="5"/>
  <c r="BL36" i="5" a="1"/>
  <c r="BL36" i="5" s="1"/>
  <c r="AY36" i="5" a="1"/>
  <c r="AY36" i="5" s="1"/>
  <c r="BQ36" i="5" a="1"/>
  <c r="BQ36" i="5" s="1"/>
  <c r="BO36" i="5" a="1"/>
  <c r="BO36" i="5" s="1"/>
  <c r="BF36" i="5" a="1"/>
  <c r="BF36" i="5" s="1"/>
  <c r="BN36" i="5" a="1"/>
  <c r="BN36" i="5" s="1"/>
  <c r="BN37" i="5" s="1" a="1"/>
  <c r="BN37" i="5" s="1"/>
  <c r="BA36" i="5" a="1"/>
  <c r="BA36" i="5" s="1"/>
  <c r="BM36" i="5" a="1"/>
  <c r="BM36" i="5" s="1"/>
  <c r="BM37" i="5" s="1" a="1"/>
  <c r="BM37" i="5" s="1"/>
  <c r="BK36" i="5" a="1"/>
  <c r="BK36" i="5" s="1"/>
  <c r="BK37" i="5" s="1" a="1"/>
  <c r="BK37" i="5" s="1"/>
  <c r="AZ36" i="5" a="1"/>
  <c r="AZ36" i="5" s="1"/>
  <c r="BJ36" i="5" a="1"/>
  <c r="BJ36" i="5" s="1"/>
  <c r="BH36" i="5" a="1"/>
  <c r="BH36" i="5" s="1"/>
  <c r="BG36" i="5" a="1"/>
  <c r="BG36" i="5" s="1"/>
  <c r="BI36" i="5" a="1"/>
  <c r="BI36" i="5" s="1"/>
  <c r="BC36" i="5" a="1"/>
  <c r="BC36" i="5" s="1"/>
  <c r="BD36" i="5" a="1"/>
  <c r="BD36" i="5" s="1"/>
  <c r="BE36" i="5" a="1"/>
  <c r="BE36" i="5" s="1"/>
  <c r="BB36" i="5" a="1"/>
  <c r="BB36" i="5" s="1"/>
  <c r="V34" i="2"/>
  <c r="CL29" i="8"/>
  <c r="CY29" i="8" s="1"/>
  <c r="G29" i="1" s="1"/>
  <c r="M29" i="8" s="1"/>
  <c r="O30" i="8"/>
  <c r="CJ30" i="8"/>
  <c r="CN30" i="8" s="1"/>
  <c r="F39" i="8"/>
  <c r="AO31" i="5"/>
  <c r="AV32" i="5"/>
  <c r="BP35" i="5" a="1"/>
  <c r="BP35" i="5" s="1"/>
  <c r="BD32" i="8"/>
  <c r="BP32" i="8" s="1"/>
  <c r="AG30" i="7"/>
  <c r="AI30" i="7" s="1"/>
  <c r="AG31" i="7"/>
  <c r="AI31" i="7" s="1"/>
  <c r="O40" i="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Q32" i="1" s="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A37" i="5" l="1" a="1"/>
  <c r="BA37" i="5" s="1"/>
  <c r="BF37" i="5" a="1"/>
  <c r="BF37" i="5" s="1"/>
  <c r="CS37" i="5"/>
  <c r="CV37" i="5"/>
  <c r="CR37" i="5"/>
  <c r="CT37" i="5"/>
  <c r="CQ37" i="5"/>
  <c r="CW37" i="5"/>
  <c r="CU37" i="5"/>
  <c r="AY37" i="5" a="1"/>
  <c r="AY37" i="5" s="1"/>
  <c r="BL37" i="5" a="1"/>
  <c r="BL37" i="5" s="1"/>
  <c r="AD36" i="1" s="1"/>
  <c r="BO37" i="5" a="1"/>
  <c r="BO37" i="5" s="1"/>
  <c r="BO38" i="5" s="1" a="1"/>
  <c r="BO38" i="5" s="1"/>
  <c r="AD35" i="1"/>
  <c r="BQ37" i="5" a="1"/>
  <c r="BQ37" i="5" s="1"/>
  <c r="BQ38" i="5" s="1" a="1"/>
  <c r="BQ38" i="5" s="1"/>
  <c r="BB37" i="5" a="1"/>
  <c r="BB37" i="5" s="1"/>
  <c r="BE37" i="5" a="1"/>
  <c r="BE37" i="5" s="1"/>
  <c r="BD37" i="5" a="1"/>
  <c r="BD37" i="5" s="1"/>
  <c r="BC37" i="5" a="1"/>
  <c r="BC37" i="5" s="1"/>
  <c r="BI37" i="5" a="1"/>
  <c r="BI37" i="5" s="1"/>
  <c r="BG37" i="5" a="1"/>
  <c r="BG37" i="5" s="1"/>
  <c r="BH37" i="5" a="1"/>
  <c r="BH37" i="5" s="1"/>
  <c r="BJ37" i="5" a="1"/>
  <c r="BJ37" i="5" s="1"/>
  <c r="AZ37" i="5" a="1"/>
  <c r="AZ37" i="5" s="1"/>
  <c r="V35" i="2"/>
  <c r="CL30" i="8"/>
  <c r="CY30" i="8" s="1"/>
  <c r="G30" i="1" s="1"/>
  <c r="M30" i="8" s="1"/>
  <c r="O31" i="8"/>
  <c r="CJ31" i="8"/>
  <c r="CN31" i="8" s="1"/>
  <c r="F40" i="8"/>
  <c r="AO32" i="5"/>
  <c r="AV33" i="5"/>
  <c r="BP36" i="5" a="1"/>
  <c r="BP36" i="5" s="1"/>
  <c r="BO32" i="8"/>
  <c r="BS32" i="8"/>
  <c r="BY32" i="8" s="1"/>
  <c r="D33" i="9"/>
  <c r="AG32" i="7"/>
  <c r="AI32" i="7" s="1"/>
  <c r="O41" i="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BN38" i="5" s="1" a="1"/>
  <c r="BN38" i="5" s="1"/>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Q33" i="1" s="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AZ38" i="5" l="1" a="1"/>
  <c r="AZ38" i="5" s="1"/>
  <c r="BJ38" i="5" a="1"/>
  <c r="BJ38" i="5" s="1"/>
  <c r="BH38" i="5" a="1"/>
  <c r="BH38" i="5" s="1"/>
  <c r="BG38" i="5" a="1"/>
  <c r="BG38" i="5" s="1"/>
  <c r="CT38" i="5"/>
  <c r="CR38" i="5"/>
  <c r="CU38" i="5"/>
  <c r="CV38" i="5"/>
  <c r="CQ38" i="5"/>
  <c r="CS38" i="5"/>
  <c r="CW38" i="5"/>
  <c r="AY38" i="5" a="1"/>
  <c r="AY38" i="5" s="1"/>
  <c r="BL38" i="5" a="1"/>
  <c r="BL38" i="5" s="1"/>
  <c r="AD37" i="1" s="1"/>
  <c r="BI38" i="5" a="1"/>
  <c r="BI38" i="5" s="1"/>
  <c r="BC38" i="5" a="1"/>
  <c r="BC38" i="5" s="1"/>
  <c r="BK38" i="5" a="1"/>
  <c r="BK38" i="5" s="1"/>
  <c r="BD38" i="5" a="1"/>
  <c r="BD38" i="5" s="1"/>
  <c r="BE38" i="5" a="1"/>
  <c r="BE38" i="5" s="1"/>
  <c r="BF38" i="5" a="1"/>
  <c r="BF38" i="5" s="1"/>
  <c r="BB38" i="5" a="1"/>
  <c r="BB38" i="5" s="1"/>
  <c r="BA38" i="5" a="1"/>
  <c r="BA38" i="5" s="1"/>
  <c r="BM38" i="5" a="1"/>
  <c r="BM38" i="5" s="1"/>
  <c r="V36" i="2"/>
  <c r="CL31" i="8"/>
  <c r="CY31" i="8" s="1"/>
  <c r="G31" i="1" s="1"/>
  <c r="M31" i="8" s="1"/>
  <c r="BZ32" i="8"/>
  <c r="CQ32" i="8" s="1"/>
  <c r="CR32" i="8" s="1"/>
  <c r="O32" i="8"/>
  <c r="CJ32" i="8"/>
  <c r="CN32" i="8" s="1"/>
  <c r="F41" i="8"/>
  <c r="AO33" i="5"/>
  <c r="AV34" i="5"/>
  <c r="BP37" i="5" a="1"/>
  <c r="BP37" i="5" s="1"/>
  <c r="O42" i="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Q34" i="1" s="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N40" i="5" s="1"/>
  <c r="P40" i="2"/>
  <c r="O40" i="2"/>
  <c r="M39" i="2"/>
  <c r="BM39" i="5" l="1" a="1"/>
  <c r="BM39" i="5" s="1"/>
  <c r="BA39" i="5" a="1"/>
  <c r="BA39" i="5" s="1"/>
  <c r="BB39" i="5" a="1"/>
  <c r="BB39" i="5" s="1"/>
  <c r="CQ39" i="5"/>
  <c r="CR39" i="5"/>
  <c r="CS39" i="5"/>
  <c r="CT39" i="5"/>
  <c r="CV39" i="5"/>
  <c r="CW39" i="5"/>
  <c r="CU39" i="5"/>
  <c r="AY39" i="5" a="1"/>
  <c r="AY39" i="5" s="1"/>
  <c r="BL39" i="5" a="1"/>
  <c r="BL39" i="5" s="1"/>
  <c r="BF39" i="5" a="1"/>
  <c r="BF39" i="5" s="1"/>
  <c r="BF40" i="5" s="1" a="1"/>
  <c r="BF40" i="5" s="1"/>
  <c r="BG39" i="5" a="1"/>
  <c r="BG39" i="5" s="1"/>
  <c r="BE39" i="5" a="1"/>
  <c r="BE39" i="5" s="1"/>
  <c r="BQ39" i="5" a="1"/>
  <c r="BQ39" i="5" s="1"/>
  <c r="BQ40" i="5" s="1" a="1"/>
  <c r="BQ40" i="5" s="1"/>
  <c r="BD39" i="5" a="1"/>
  <c r="BD39" i="5" s="1"/>
  <c r="BH39" i="5" a="1"/>
  <c r="BH39" i="5" s="1"/>
  <c r="BO39" i="5" a="1"/>
  <c r="BO39" i="5" s="1"/>
  <c r="BJ39" i="5" a="1"/>
  <c r="BJ39" i="5" s="1"/>
  <c r="BK39" i="5" a="1"/>
  <c r="BK39" i="5" s="1"/>
  <c r="AZ39" i="5" a="1"/>
  <c r="AZ39" i="5" s="1"/>
  <c r="BC39" i="5" a="1"/>
  <c r="BC39" i="5" s="1"/>
  <c r="BI39" i="5" a="1"/>
  <c r="BI39" i="5" s="1"/>
  <c r="BN39" i="5" a="1"/>
  <c r="BN39" i="5" s="1"/>
  <c r="V37" i="2"/>
  <c r="CL32" i="8"/>
  <c r="CY32" i="8" s="1"/>
  <c r="G32" i="1" s="1"/>
  <c r="M32" i="8" s="1"/>
  <c r="F42" i="8"/>
  <c r="AO34" i="5"/>
  <c r="AV35" i="5"/>
  <c r="BP38" i="5" a="1"/>
  <c r="BP38" i="5" s="1"/>
  <c r="DA35" i="8"/>
  <c r="DB35" i="8" s="1"/>
  <c r="AG33" i="7"/>
  <c r="AI33" i="7" s="1"/>
  <c r="O43" i="1"/>
  <c r="BS34" i="8"/>
  <c r="BY34" i="8" s="1"/>
  <c r="BO34" i="8"/>
  <c r="BK34" i="8"/>
  <c r="BL34" i="8"/>
  <c r="BI34" i="8"/>
  <c r="BJ34" i="8"/>
  <c r="BG34" i="8"/>
  <c r="BH34" i="8"/>
  <c r="BF34" i="8"/>
  <c r="AC34" i="10"/>
  <c r="X34" i="10" s="1"/>
  <c r="AM34" i="5"/>
  <c r="AN34" i="5"/>
  <c r="AS38" i="5"/>
  <c r="AK38" i="11"/>
  <c r="E42" i="8"/>
  <c r="CA110" i="8"/>
  <c r="DF37" i="5"/>
  <c r="AH38" i="11"/>
  <c r="DB37" i="5"/>
  <c r="DE37" i="5"/>
  <c r="K40" i="11"/>
  <c r="A40" i="14"/>
  <c r="CA40" i="14" s="1"/>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Q35" i="1" s="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AD38" i="1" l="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AZ41" i="5" s="1" a="1"/>
  <c r="AZ41" i="5" s="1"/>
  <c r="BK40" i="5" a="1"/>
  <c r="BK40" i="5" s="1"/>
  <c r="BJ40" i="5" a="1"/>
  <c r="BJ40" i="5" s="1"/>
  <c r="BO40" i="5" a="1"/>
  <c r="BO40" i="5" s="1"/>
  <c r="BB40" i="5" a="1"/>
  <c r="BB40" i="5" s="1"/>
  <c r="BH40" i="5" a="1"/>
  <c r="BH40" i="5" s="1"/>
  <c r="BA40" i="5" a="1"/>
  <c r="BA40" i="5" s="1"/>
  <c r="BD40" i="5" a="1"/>
  <c r="BD40" i="5" s="1"/>
  <c r="BM40" i="5" a="1"/>
  <c r="BM40" i="5" s="1"/>
  <c r="V38" i="2"/>
  <c r="AT39" i="5"/>
  <c r="CD35" i="8"/>
  <c r="CT35" i="8" s="1"/>
  <c r="O34" i="8"/>
  <c r="CQ33" i="8"/>
  <c r="CR33" i="8" s="1"/>
  <c r="O33" i="8"/>
  <c r="F43" i="8"/>
  <c r="AO35" i="5"/>
  <c r="AV36" i="5"/>
  <c r="BP39" i="5" a="1"/>
  <c r="BP39" i="5" s="1"/>
  <c r="AG35" i="7"/>
  <c r="AI35" i="7" s="1"/>
  <c r="AG34" i="7"/>
  <c r="AI34" i="7" s="1"/>
  <c r="O44" i="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BF41" i="5" s="1" a="1"/>
  <c r="BF41" i="5" s="1"/>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Q36" i="1" s="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D39" i="1" l="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U35" i="8"/>
  <c r="CY33" i="8"/>
  <c r="G33" i="1" s="1"/>
  <c r="M33" i="8" s="1"/>
  <c r="CJ35" i="8"/>
  <c r="CN35" i="8" s="1"/>
  <c r="F44" i="8"/>
  <c r="AO36" i="5"/>
  <c r="AV37" i="5"/>
  <c r="BP40" i="5" a="1"/>
  <c r="BP40" i="5" s="1"/>
  <c r="A37" i="11"/>
  <c r="AD36" i="11" s="1"/>
  <c r="AI36" i="1" s="1"/>
  <c r="O45" i="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CA42" i="14" s="1"/>
  <c r="A42" i="5"/>
  <c r="AZ42" i="5" s="1" a="1"/>
  <c r="AZ42" i="5" s="1"/>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Q37" i="1" s="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N43" i="5" s="1"/>
  <c r="P43" i="2"/>
  <c r="M42" i="2"/>
  <c r="AD40" i="1" l="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L35" i="8"/>
  <c r="AB36" i="11"/>
  <c r="P36" i="8" s="1"/>
  <c r="AC36" i="11"/>
  <c r="T36" i="8" s="1"/>
  <c r="AA36" i="11"/>
  <c r="AK36" i="1" s="1"/>
  <c r="Z36" i="11"/>
  <c r="N37" i="11"/>
  <c r="O36" i="8"/>
  <c r="F45" i="8"/>
  <c r="AO37" i="5"/>
  <c r="AV38" i="5"/>
  <c r="BP41" i="5" a="1"/>
  <c r="BP41" i="5" s="1"/>
  <c r="AG36" i="7"/>
  <c r="AI36" i="7" s="1"/>
  <c r="AG37" i="7"/>
  <c r="AI37" i="7" s="1"/>
  <c r="O46" i="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CA43" i="14" s="1"/>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Q38" i="1" s="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D41" i="1" l="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Y35" i="8"/>
  <c r="G35" i="1" s="1"/>
  <c r="M35" i="8" s="1"/>
  <c r="O37" i="8"/>
  <c r="CJ37" i="8"/>
  <c r="CN37" i="8" s="1"/>
  <c r="F46" i="8"/>
  <c r="AO38" i="5"/>
  <c r="AV39" i="5"/>
  <c r="BP42" i="5" a="1"/>
  <c r="BP42" i="5" s="1"/>
  <c r="BD39" i="8"/>
  <c r="BP39" i="8" s="1"/>
  <c r="O47" i="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K37" i="8"/>
  <c r="B39" i="7"/>
  <c r="Q39" i="7" s="1"/>
  <c r="AR37" i="5"/>
  <c r="BZ37" i="8"/>
  <c r="CQ37" i="8" s="1"/>
  <c r="CR37" i="8" s="1"/>
  <c r="AI39" i="5"/>
  <c r="E39" i="1"/>
  <c r="Q39" i="1" s="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N45" i="5" s="1"/>
  <c r="P45" i="2"/>
  <c r="M44" i="2"/>
  <c r="AD42" i="1" l="1"/>
  <c r="AZ44" i="5" a="1"/>
  <c r="AZ44" i="5" s="1"/>
  <c r="BB44" i="5" a="1"/>
  <c r="BB44" i="5" s="1"/>
  <c r="CQ44" i="5"/>
  <c r="CR44" i="5"/>
  <c r="CV44" i="5"/>
  <c r="CW44" i="5"/>
  <c r="CS44" i="5"/>
  <c r="CT44" i="5"/>
  <c r="CU44" i="5"/>
  <c r="AY44" i="5" a="1"/>
  <c r="AY44" i="5" s="1"/>
  <c r="BL44" i="5" a="1"/>
  <c r="BL44" i="5" s="1"/>
  <c r="BQ44" i="5" a="1"/>
  <c r="BQ44" i="5" s="1"/>
  <c r="BQ45" i="5" s="1" a="1"/>
  <c r="BQ45" i="5" s="1"/>
  <c r="BJ44" i="5" a="1"/>
  <c r="BJ44" i="5" s="1"/>
  <c r="BJ45" i="5" s="1" a="1"/>
  <c r="BJ45" i="5" s="1"/>
  <c r="BC44" i="5" a="1"/>
  <c r="BC44" i="5" s="1"/>
  <c r="BC45" i="5" s="1" a="1"/>
  <c r="BC45" i="5" s="1"/>
  <c r="BH44" i="5" a="1"/>
  <c r="BH44" i="5" s="1"/>
  <c r="BH45" i="5" s="1" a="1"/>
  <c r="BH45"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BN45" i="5" s="1" a="1"/>
  <c r="BN45" i="5" s="1"/>
  <c r="V42" i="2"/>
  <c r="O38" i="8"/>
  <c r="CL37" i="8"/>
  <c r="CY37" i="8" s="1"/>
  <c r="G37" i="1" s="1"/>
  <c r="M37" i="8" s="1"/>
  <c r="F47" i="8"/>
  <c r="AO39" i="5"/>
  <c r="AV40" i="5"/>
  <c r="BP43" i="5" a="1"/>
  <c r="BP43" i="5" s="1"/>
  <c r="D40" i="9"/>
  <c r="BO39" i="8"/>
  <c r="BS39" i="8"/>
  <c r="BY39" i="8" s="1"/>
  <c r="BE40" i="8"/>
  <c r="BN40" i="8" s="1"/>
  <c r="AG38" i="7"/>
  <c r="AI38" i="7" s="1"/>
  <c r="O48" i="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Q40" i="1" s="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AD43" i="1" l="1"/>
  <c r="BG45" i="5" a="1"/>
  <c r="BG45" i="5" s="1"/>
  <c r="BI45" i="5" a="1"/>
  <c r="BI45" i="5" s="1"/>
  <c r="BM45" i="5" a="1"/>
  <c r="BM45" i="5" s="1"/>
  <c r="BD45" i="5" a="1"/>
  <c r="BD45" i="5" s="1"/>
  <c r="BO45" i="5" a="1"/>
  <c r="BO45" i="5" s="1"/>
  <c r="CV45" i="5"/>
  <c r="CU45" i="5"/>
  <c r="CR45" i="5"/>
  <c r="CT45" i="5"/>
  <c r="CW45" i="5"/>
  <c r="CS45" i="5"/>
  <c r="CQ45" i="5"/>
  <c r="AY45" i="5" a="1"/>
  <c r="AY45" i="5" s="1"/>
  <c r="BL45" i="5" a="1"/>
  <c r="BL45" i="5" s="1"/>
  <c r="AD44" i="1" s="1"/>
  <c r="BA45" i="5" a="1"/>
  <c r="BA45" i="5" s="1"/>
  <c r="BF45" i="5" a="1"/>
  <c r="BF45" i="5" s="1"/>
  <c r="BK45" i="5" a="1"/>
  <c r="BK45" i="5" s="1"/>
  <c r="BB45" i="5" a="1"/>
  <c r="BB45" i="5" s="1"/>
  <c r="BE45" i="5" a="1"/>
  <c r="BE45" i="5" s="1"/>
  <c r="AZ45" i="5" a="1"/>
  <c r="AZ45" i="5" s="1"/>
  <c r="V43" i="2"/>
  <c r="O39" i="8"/>
  <c r="F48" i="8"/>
  <c r="CJ39" i="8"/>
  <c r="CN39" i="8" s="1"/>
  <c r="AO40" i="5"/>
  <c r="AV41" i="5"/>
  <c r="BP44" i="5" a="1"/>
  <c r="BP44" i="5" s="1"/>
  <c r="BZ39" i="8"/>
  <c r="CQ39" i="8" s="1"/>
  <c r="CR39" i="8" s="1"/>
  <c r="AG39" i="7"/>
  <c r="AI39" i="7" s="1"/>
  <c r="O49" i="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CA46" i="14" s="1"/>
  <c r="A46" i="5"/>
  <c r="BQ46" i="5" s="1" a="1"/>
  <c r="BQ46" i="5" s="1"/>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Q41" i="1" s="1"/>
  <c r="AI41" i="5"/>
  <c r="B41" i="9"/>
  <c r="X41" i="9" s="1"/>
  <c r="AB43" i="1"/>
  <c r="DI43" i="5"/>
  <c r="AC42" i="1"/>
  <c r="DA42" i="5"/>
  <c r="DG42" i="5" s="1" a="1"/>
  <c r="DG42" i="5" s="1"/>
  <c r="AF52" i="9"/>
  <c r="AJ52" i="9"/>
  <c r="AD114" i="9"/>
  <c r="N28" i="1"/>
  <c r="S45" i="2"/>
  <c r="N46" i="2"/>
  <c r="R46" i="2"/>
  <c r="Q45" i="2"/>
  <c r="M46" i="2"/>
  <c r="J47" i="10"/>
  <c r="N47" i="5" s="1"/>
  <c r="O47" i="2"/>
  <c r="P47" i="2"/>
  <c r="AZ46" i="5" l="1" a="1"/>
  <c r="AZ46" i="5" s="1"/>
  <c r="BE46" i="5" a="1"/>
  <c r="BE46" i="5" s="1"/>
  <c r="BO46" i="5" a="1"/>
  <c r="BO46" i="5" s="1"/>
  <c r="BB46" i="5" a="1"/>
  <c r="BB46" i="5" s="1"/>
  <c r="BD46" i="5" a="1"/>
  <c r="BD46" i="5" s="1"/>
  <c r="BK46" i="5" a="1"/>
  <c r="BK46" i="5" s="1"/>
  <c r="BM46" i="5" a="1"/>
  <c r="BM46" i="5" s="1"/>
  <c r="BF46" i="5" a="1"/>
  <c r="BF46" i="5" s="1"/>
  <c r="BI46" i="5" a="1"/>
  <c r="BI46" i="5" s="1"/>
  <c r="BC46" i="5" a="1"/>
  <c r="BC46" i="5" s="1"/>
  <c r="BC47" i="5" s="1" a="1"/>
  <c r="BC47" i="5" s="1"/>
  <c r="BH46" i="5" a="1"/>
  <c r="BH46" i="5" s="1"/>
  <c r="BH47" i="5" s="1" a="1"/>
  <c r="BH47" i="5" s="1"/>
  <c r="BA46" i="5" a="1"/>
  <c r="BA46" i="5" s="1"/>
  <c r="BG46" i="5" a="1"/>
  <c r="BG46" i="5" s="1"/>
  <c r="BG47" i="5" s="1" a="1"/>
  <c r="BG47" i="5" s="1"/>
  <c r="BN46" i="5" a="1"/>
  <c r="BN46" i="5" s="1"/>
  <c r="BN47" i="5" s="1" a="1"/>
  <c r="BN47" i="5" s="1"/>
  <c r="CV46" i="5"/>
  <c r="CT46" i="5"/>
  <c r="CQ46" i="5"/>
  <c r="CS46" i="5"/>
  <c r="CR46" i="5"/>
  <c r="CW46" i="5"/>
  <c r="CU46" i="5"/>
  <c r="AY46" i="5" a="1"/>
  <c r="AY46" i="5" s="1"/>
  <c r="BL46" i="5" a="1"/>
  <c r="BL46" i="5" s="1"/>
  <c r="BJ46" i="5" a="1"/>
  <c r="BJ46" i="5" s="1"/>
  <c r="CL39" i="8"/>
  <c r="CY39" i="8" s="1"/>
  <c r="G39" i="1" s="1"/>
  <c r="M39" i="8" s="1"/>
  <c r="V44" i="2"/>
  <c r="O40" i="8"/>
  <c r="CJ40" i="8"/>
  <c r="CN40" i="8" s="1"/>
  <c r="F49" i="8"/>
  <c r="AO41" i="5"/>
  <c r="AV42" i="5"/>
  <c r="BP45" i="5" a="1"/>
  <c r="BP45" i="5" s="1"/>
  <c r="AG40" i="7"/>
  <c r="AI40" i="7" s="1"/>
  <c r="O50" i="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Q42" i="1" s="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AD45" i="1" l="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AD46" i="1" s="1"/>
  <c r="BE47" i="5" a="1"/>
  <c r="BE47" i="5" s="1"/>
  <c r="AZ47" i="5" a="1"/>
  <c r="AZ47" i="5" s="1"/>
  <c r="BQ47" i="5" a="1"/>
  <c r="BQ47" i="5" s="1"/>
  <c r="V45" i="2"/>
  <c r="CL40" i="8"/>
  <c r="CY40" i="8" s="1"/>
  <c r="G40" i="1" s="1"/>
  <c r="M40" i="8" s="1"/>
  <c r="O41" i="8"/>
  <c r="F50" i="8"/>
  <c r="AO42" i="5"/>
  <c r="AV43" i="5"/>
  <c r="BP46" i="5" a="1"/>
  <c r="BP46" i="5" s="1"/>
  <c r="AG41" i="7"/>
  <c r="AI41" i="7" s="1"/>
  <c r="O51" i="1"/>
  <c r="BO42" i="8"/>
  <c r="BK42" i="8"/>
  <c r="BL42" i="8"/>
  <c r="BI42" i="8"/>
  <c r="BJ42" i="8"/>
  <c r="BG42" i="8"/>
  <c r="BH42" i="8"/>
  <c r="BF42" i="8"/>
  <c r="AC42" i="10"/>
  <c r="X42" i="10" s="1"/>
  <c r="AM42" i="5"/>
  <c r="AN42" i="5"/>
  <c r="AS46" i="5"/>
  <c r="E50" i="8"/>
  <c r="CA118" i="8"/>
  <c r="AK46" i="11"/>
  <c r="DB45" i="5"/>
  <c r="AH46" i="11"/>
  <c r="AM46" i="1"/>
  <c r="DF45" i="5"/>
  <c r="K48" i="11"/>
  <c r="A48" i="14"/>
  <c r="CA48" i="14" s="1"/>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Q43" i="1" s="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N49" i="5" s="1"/>
  <c r="CV48" i="5" l="1"/>
  <c r="CT48" i="5"/>
  <c r="CS48" i="5"/>
  <c r="CR48" i="5"/>
  <c r="CU48" i="5"/>
  <c r="CQ48" i="5"/>
  <c r="CW48" i="5"/>
  <c r="AY48" i="5" a="1"/>
  <c r="AY48" i="5" s="1"/>
  <c r="BL48" i="5" a="1"/>
  <c r="BL48" i="5" s="1"/>
  <c r="BO48" i="5" a="1"/>
  <c r="BO48" i="5" s="1"/>
  <c r="BQ48" i="5" a="1"/>
  <c r="BQ48" i="5" s="1"/>
  <c r="BB48" i="5" a="1"/>
  <c r="BB48" i="5" s="1"/>
  <c r="AZ48" i="5" a="1"/>
  <c r="AZ48" i="5" s="1"/>
  <c r="AZ49" i="5" s="1" a="1"/>
  <c r="AZ49" i="5" s="1"/>
  <c r="BD48" i="5" a="1"/>
  <c r="BD48" i="5" s="1"/>
  <c r="BK48" i="5" a="1"/>
  <c r="BK48" i="5" s="1"/>
  <c r="BK49" i="5" s="1" a="1"/>
  <c r="BK49"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O42" i="8"/>
  <c r="F51" i="8"/>
  <c r="AO43" i="5"/>
  <c r="AV44" i="5"/>
  <c r="BP47" i="5" a="1"/>
  <c r="BP47" i="5" s="1"/>
  <c r="W44" i="8"/>
  <c r="CW44" i="8" s="1"/>
  <c r="AG42" i="7"/>
  <c r="AI42" i="7" s="1"/>
  <c r="O52" i="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Q44" i="1" s="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N50" i="5" s="1"/>
  <c r="O50" i="2"/>
  <c r="P50" i="2"/>
  <c r="AD47" i="1" l="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BK50" i="5" s="1" a="1"/>
  <c r="BK50" i="5" s="1"/>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Q45" i="1" s="1"/>
  <c r="AC46" i="1"/>
  <c r="DA46" i="5"/>
  <c r="DG46" i="5" s="1" a="1"/>
  <c r="DG46" i="5" s="1"/>
  <c r="AB47" i="1"/>
  <c r="DI47" i="5"/>
  <c r="AF56" i="9"/>
  <c r="AJ56" i="9"/>
  <c r="AD118" i="9"/>
  <c r="N32" i="1"/>
  <c r="S49" i="2"/>
  <c r="N50" i="2"/>
  <c r="R50" i="2"/>
  <c r="Q49" i="2"/>
  <c r="J51" i="10"/>
  <c r="N51" i="5" s="1"/>
  <c r="P51" i="2"/>
  <c r="O51" i="2"/>
  <c r="M50" i="2"/>
  <c r="AD48" i="1" l="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Q43" i="8"/>
  <c r="CR43" i="8" s="1"/>
  <c r="O43" i="8"/>
  <c r="CJ44" i="8"/>
  <c r="CN44" i="8" s="1"/>
  <c r="F53" i="8"/>
  <c r="AO45" i="5"/>
  <c r="AV46" i="5"/>
  <c r="BP49" i="5" a="1"/>
  <c r="BP49" i="5" s="1"/>
  <c r="AG44" i="7"/>
  <c r="O54" i="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Q46" i="1" s="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N52" i="5" s="1"/>
  <c r="BD51" i="5" l="1"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F52" i="5" s="1" a="1"/>
  <c r="BF52" i="5" s="1"/>
  <c r="BI51" i="5" a="1"/>
  <c r="BI51" i="5" s="1"/>
  <c r="BI52" i="5" s="1" a="1"/>
  <c r="BI52"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Y43" i="8"/>
  <c r="G43" i="1" s="1"/>
  <c r="M43" i="8" s="1"/>
  <c r="CL44" i="8"/>
  <c r="O45" i="8"/>
  <c r="F54" i="8"/>
  <c r="AO46" i="5"/>
  <c r="AV47" i="5"/>
  <c r="BP50" i="5" a="1"/>
  <c r="BP50" i="5" s="1"/>
  <c r="AG45" i="7"/>
  <c r="O55" i="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Q44" i="8"/>
  <c r="CR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Q47" i="1" s="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N53" i="5" s="1"/>
  <c r="M52" i="2"/>
  <c r="P53" i="2"/>
  <c r="AD50" i="1" l="1"/>
  <c r="CY44" i="8"/>
  <c r="G44" i="1" s="1"/>
  <c r="M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O46" i="8"/>
  <c r="F55" i="8"/>
  <c r="AO47" i="5"/>
  <c r="AV48" i="5"/>
  <c r="BP51" i="5" a="1"/>
  <c r="BP51" i="5" s="1"/>
  <c r="AG46" i="7"/>
  <c r="O56" i="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Q48" i="1" s="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N54" i="5" s="1"/>
  <c r="AD51" i="1" l="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BK54" i="5" s="1" a="1"/>
  <c r="BK54"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BF54" i="5" s="1" a="1"/>
  <c r="BF54" i="5" s="1"/>
  <c r="V51" i="2"/>
  <c r="O47" i="8"/>
  <c r="F56" i="8"/>
  <c r="AO48" i="5"/>
  <c r="AV49" i="5"/>
  <c r="BP52" i="5" a="1"/>
  <c r="BP52" i="5" s="1"/>
  <c r="AG47" i="7"/>
  <c r="O57" i="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CA54" i="14" s="1"/>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Q49" i="1" s="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N55" i="5" s="1"/>
  <c r="AD52" i="1" l="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BB55" i="5" s="1" a="1"/>
  <c r="BB55"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U48" i="8"/>
  <c r="A50" i="10"/>
  <c r="AA50" i="10" s="1"/>
  <c r="B50" i="7"/>
  <c r="AE50" i="7" s="1"/>
  <c r="AF50" i="7" s="1"/>
  <c r="E50" i="1"/>
  <c r="Q50" i="1" s="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N56" i="5" s="1"/>
  <c r="P56" i="2"/>
  <c r="O56" i="2"/>
  <c r="AD53" i="1" l="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P49" i="8" s="1"/>
  <c r="Z49" i="11"/>
  <c r="AA49" i="11"/>
  <c r="AK49" i="1" s="1"/>
  <c r="AC49" i="11"/>
  <c r="T49" i="8" s="1"/>
  <c r="Y49" i="11"/>
  <c r="AH49" i="1" s="1"/>
  <c r="V53" i="2"/>
  <c r="CQ48" i="8"/>
  <c r="CR48" i="8" s="1"/>
  <c r="O48" i="8"/>
  <c r="F58" i="8"/>
  <c r="AO50" i="5"/>
  <c r="AV51" i="5"/>
  <c r="BP54" i="5" a="1"/>
  <c r="BP54" i="5" s="1"/>
  <c r="AG50" i="7"/>
  <c r="AG49" i="7"/>
  <c r="O59" i="1"/>
  <c r="BO50" i="8"/>
  <c r="BK50" i="8"/>
  <c r="BL50" i="8"/>
  <c r="BI50" i="8"/>
  <c r="BJ50" i="8"/>
  <c r="BG50" i="8"/>
  <c r="BH50" i="8"/>
  <c r="BF50" i="8"/>
  <c r="AC50" i="10"/>
  <c r="X50" i="10" s="1"/>
  <c r="AM50" i="5"/>
  <c r="AN50" i="5"/>
  <c r="AS54" i="5"/>
  <c r="E58" i="8"/>
  <c r="CA126" i="8"/>
  <c r="AH54" i="11"/>
  <c r="AJ54" i="1"/>
  <c r="DF53" i="5"/>
  <c r="DB53" i="5"/>
  <c r="AM54" i="1"/>
  <c r="DE53" i="5"/>
  <c r="K56" i="11"/>
  <c r="A56" i="14"/>
  <c r="CA56" i="14" s="1"/>
  <c r="A56" i="8"/>
  <c r="A56" i="2"/>
  <c r="A56" i="5"/>
  <c r="BB56" i="5" s="1" a="1"/>
  <c r="BB56" i="5" s="1"/>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Q51" i="1" s="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AD54" i="1" l="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CY48" i="8"/>
  <c r="G48" i="1" s="1"/>
  <c r="M48" i="8" s="1"/>
  <c r="V54" i="2"/>
  <c r="CQ49" i="8"/>
  <c r="CR49" i="8" s="1"/>
  <c r="O49" i="8"/>
  <c r="CJ50" i="8"/>
  <c r="CN50" i="8" s="1"/>
  <c r="F59" i="8"/>
  <c r="AO51" i="5"/>
  <c r="AV52" i="5"/>
  <c r="BP55" i="5" a="1"/>
  <c r="BP55" i="5" s="1"/>
  <c r="O60" i="1"/>
  <c r="BO51" i="8"/>
  <c r="BK51" i="8"/>
  <c r="BL51" i="8"/>
  <c r="BI51" i="8"/>
  <c r="BJ51" i="8"/>
  <c r="BG51" i="8"/>
  <c r="BH51" i="8"/>
  <c r="BF51" i="8"/>
  <c r="AC51" i="10"/>
  <c r="X51" i="10" s="1"/>
  <c r="AM51" i="5"/>
  <c r="AN51" i="5"/>
  <c r="AS55" i="5"/>
  <c r="E59" i="8"/>
  <c r="CA127" i="8"/>
  <c r="AH55" i="11"/>
  <c r="AJ55" i="1"/>
  <c r="DE54" i="5"/>
  <c r="DF54" i="5"/>
  <c r="DB54" i="5"/>
  <c r="K57" i="11"/>
  <c r="A57" i="14"/>
  <c r="CA57" i="14" s="1"/>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Q52" i="1" s="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D55" i="1" l="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BC58" i="5" s="1" a="1"/>
  <c r="BC58" i="5" s="1"/>
  <c r="CQ57" i="5"/>
  <c r="CW57" i="5"/>
  <c r="CR57" i="5"/>
  <c r="CV57" i="5"/>
  <c r="CT57" i="5"/>
  <c r="CU57" i="5"/>
  <c r="CS57" i="5"/>
  <c r="AY57" i="5" a="1"/>
  <c r="AY57" i="5" s="1"/>
  <c r="BL57" i="5" a="1"/>
  <c r="BL57" i="5" s="1"/>
  <c r="AZ57" i="5" a="1"/>
  <c r="AZ57" i="5" s="1"/>
  <c r="BB57" i="5" a="1"/>
  <c r="BB57" i="5" s="1"/>
  <c r="V55" i="2"/>
  <c r="CL50" i="8"/>
  <c r="CY49" i="8"/>
  <c r="G49" i="1" s="1"/>
  <c r="M49" i="8" s="1"/>
  <c r="O51" i="8"/>
  <c r="CQ50" i="8"/>
  <c r="CR50" i="8" s="1"/>
  <c r="O50" i="8"/>
  <c r="F60" i="8"/>
  <c r="AO52" i="5"/>
  <c r="AV53" i="5"/>
  <c r="BP56" i="5" a="1"/>
  <c r="BP56" i="5" s="1"/>
  <c r="AG51" i="7"/>
  <c r="O61" i="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CA58" i="14" s="1"/>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Q53" i="1" s="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AD56" i="1" l="1"/>
  <c r="BG58" i="5" a="1"/>
  <c r="BG58" i="5" s="1"/>
  <c r="BK58" i="5" a="1"/>
  <c r="BK58" i="5" s="1"/>
  <c r="BE58" i="5" a="1"/>
  <c r="BE58" i="5" s="1"/>
  <c r="BM58" i="5" a="1"/>
  <c r="BM58" i="5" s="1"/>
  <c r="BB58" i="5" a="1"/>
  <c r="BB58" i="5" s="1"/>
  <c r="BI58" i="5" a="1"/>
  <c r="BI58" i="5" s="1"/>
  <c r="AZ58" i="5" a="1"/>
  <c r="AZ58" i="5" s="1"/>
  <c r="AZ59" i="5" s="1" a="1"/>
  <c r="AZ59" i="5" s="1"/>
  <c r="BF58" i="5" a="1"/>
  <c r="BF58" i="5" s="1"/>
  <c r="BJ58" i="5" a="1"/>
  <c r="BJ58" i="5" s="1"/>
  <c r="BJ59" i="5" s="1" a="1"/>
  <c r="BJ59" i="5" s="1"/>
  <c r="CR58" i="5"/>
  <c r="CQ58" i="5"/>
  <c r="CV58" i="5"/>
  <c r="CU58" i="5"/>
  <c r="CT58" i="5"/>
  <c r="CW58" i="5"/>
  <c r="CS58" i="5"/>
  <c r="AY58" i="5" a="1"/>
  <c r="AY58" i="5" s="1"/>
  <c r="BL58" i="5" a="1"/>
  <c r="BL58" i="5" s="1"/>
  <c r="BN58" i="5" a="1"/>
  <c r="BN58" i="5" s="1"/>
  <c r="BN59" i="5" s="1" a="1"/>
  <c r="BN59" i="5" s="1"/>
  <c r="BH58" i="5" a="1"/>
  <c r="BH58" i="5" s="1"/>
  <c r="BA58" i="5" a="1"/>
  <c r="BA58" i="5" s="1"/>
  <c r="BO58" i="5" a="1"/>
  <c r="BO58" i="5" s="1"/>
  <c r="BQ58" i="5" a="1"/>
  <c r="BQ58" i="5" s="1"/>
  <c r="BQ59" i="5" s="1" a="1"/>
  <c r="BQ59" i="5" s="1"/>
  <c r="BD58" i="5" a="1"/>
  <c r="BD58" i="5" s="1"/>
  <c r="BD59" i="5" s="1" a="1"/>
  <c r="BD59" i="5" s="1"/>
  <c r="CY50" i="8"/>
  <c r="G50" i="1" s="1"/>
  <c r="M50" i="8" s="1"/>
  <c r="V56" i="2"/>
  <c r="O52" i="8"/>
  <c r="F61" i="8"/>
  <c r="AO53" i="5"/>
  <c r="AV54" i="5"/>
  <c r="BP57" i="5" a="1"/>
  <c r="BP57" i="5" s="1"/>
  <c r="AG52" i="7"/>
  <c r="O62" i="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Q54" i="1" s="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AD57" i="1" l="1"/>
  <c r="BF59" i="5" a="1"/>
  <c r="BF59" i="5" s="1"/>
  <c r="BO59" i="5" a="1"/>
  <c r="BO59" i="5" s="1"/>
  <c r="BI59" i="5" a="1"/>
  <c r="BI59" i="5" s="1"/>
  <c r="BA59" i="5" a="1"/>
  <c r="BA59" i="5" s="1"/>
  <c r="BB59" i="5" a="1"/>
  <c r="BB59" i="5" s="1"/>
  <c r="BH59" i="5" a="1"/>
  <c r="BH59" i="5" s="1"/>
  <c r="BH60" i="5" s="1" a="1"/>
  <c r="BH60" i="5" s="1"/>
  <c r="BM59" i="5" a="1"/>
  <c r="BM59" i="5" s="1"/>
  <c r="BE59" i="5" a="1"/>
  <c r="BE59" i="5" s="1"/>
  <c r="BE60" i="5" s="1" a="1"/>
  <c r="BE60" i="5" s="1"/>
  <c r="BK59" i="5" a="1"/>
  <c r="BK59" i="5" s="1"/>
  <c r="CR59" i="5"/>
  <c r="CQ59" i="5"/>
  <c r="CT59" i="5"/>
  <c r="CV59" i="5"/>
  <c r="CW59" i="5"/>
  <c r="CU59" i="5"/>
  <c r="CS59" i="5"/>
  <c r="AY59" i="5" a="1"/>
  <c r="AY59" i="5" s="1"/>
  <c r="BL59" i="5" a="1"/>
  <c r="BL59" i="5" s="1"/>
  <c r="AD58" i="1" s="1"/>
  <c r="BG59" i="5" a="1"/>
  <c r="BG59" i="5" s="1"/>
  <c r="BC59" i="5" a="1"/>
  <c r="BC59" i="5" s="1"/>
  <c r="BC60" i="5" s="1" a="1"/>
  <c r="BC60" i="5" s="1"/>
  <c r="V57" i="2"/>
  <c r="O53" i="8"/>
  <c r="F62" i="8"/>
  <c r="AO54" i="5"/>
  <c r="AV55" i="5"/>
  <c r="BP58" i="5" a="1"/>
  <c r="BP58" i="5" s="1"/>
  <c r="A55" i="10"/>
  <c r="AA55" i="10" s="1"/>
  <c r="AG53" i="7"/>
  <c r="O63" i="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BN60" i="5" s="1" a="1"/>
  <c r="BN60" i="5" s="1"/>
  <c r="DH57" i="5"/>
  <c r="AR59" i="8"/>
  <c r="AD59" i="8"/>
  <c r="B55" i="9"/>
  <c r="X55" i="9" s="1"/>
  <c r="A55" i="11"/>
  <c r="N55" i="11" s="1"/>
  <c r="E55" i="1"/>
  <c r="Q55" i="1" s="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BK60" i="5" l="1" a="1"/>
  <c r="BK60" i="5" s="1"/>
  <c r="BM60" i="5" a="1"/>
  <c r="BM60" i="5" s="1"/>
  <c r="BG60" i="5" a="1"/>
  <c r="BG60" i="5" s="1"/>
  <c r="BB60" i="5" a="1"/>
  <c r="BB60" i="5" s="1"/>
  <c r="CU60" i="5"/>
  <c r="CW60" i="5"/>
  <c r="CQ60" i="5"/>
  <c r="CR60" i="5"/>
  <c r="CV60" i="5"/>
  <c r="CS60" i="5"/>
  <c r="CT60" i="5"/>
  <c r="BL60" i="5" a="1"/>
  <c r="BL60" i="5" s="1"/>
  <c r="AD59" i="1" s="1"/>
  <c r="AY60" i="5" a="1"/>
  <c r="AY60" i="5" s="1"/>
  <c r="BA60" i="5" a="1"/>
  <c r="BA60" i="5" s="1"/>
  <c r="BI60" i="5" a="1"/>
  <c r="BI60" i="5" s="1"/>
  <c r="BO60" i="5" a="1"/>
  <c r="BO60" i="5" s="1"/>
  <c r="AZ60" i="5" a="1"/>
  <c r="AZ60" i="5" s="1"/>
  <c r="BQ60" i="5" a="1"/>
  <c r="BQ60" i="5" s="1"/>
  <c r="BF60" i="5" a="1"/>
  <c r="BF60" i="5" s="1"/>
  <c r="BD60" i="5" a="1"/>
  <c r="BD60" i="5" s="1"/>
  <c r="BJ60" i="5" a="1"/>
  <c r="BJ60" i="5" s="1"/>
  <c r="V58" i="2"/>
  <c r="O54" i="8"/>
  <c r="CJ55" i="8"/>
  <c r="CN55" i="8" s="1"/>
  <c r="F63" i="8"/>
  <c r="AO55" i="5"/>
  <c r="AV56" i="5"/>
  <c r="BP59" i="5" a="1"/>
  <c r="BP59" i="5" s="1"/>
  <c r="AG54" i="7"/>
  <c r="O64" i="1"/>
  <c r="BZ54" i="8"/>
  <c r="CQ54" i="8" s="1"/>
  <c r="CR54" i="8" s="1"/>
  <c r="BO55" i="8"/>
  <c r="BK55" i="8"/>
  <c r="BL55" i="8"/>
  <c r="BI55" i="8"/>
  <c r="BJ55" i="8"/>
  <c r="BG55" i="8"/>
  <c r="BH55" i="8"/>
  <c r="BF55" i="8"/>
  <c r="AC55" i="10"/>
  <c r="X55" i="10" s="1"/>
  <c r="AM55" i="5"/>
  <c r="AN55" i="5"/>
  <c r="AS59" i="5"/>
  <c r="AH59" i="11"/>
  <c r="E63" i="8"/>
  <c r="CA131" i="8"/>
  <c r="DF58" i="5"/>
  <c r="DB58" i="5"/>
  <c r="K61" i="11"/>
  <c r="A61" i="14"/>
  <c r="CA61" i="14" s="1"/>
  <c r="A61" i="9"/>
  <c r="A61" i="7"/>
  <c r="R61" i="7" s="1"/>
  <c r="A61" i="2"/>
  <c r="A61" i="8"/>
  <c r="A61" i="5"/>
  <c r="AM59" i="1"/>
  <c r="AR60" i="8"/>
  <c r="AD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Q56" i="1" s="1"/>
  <c r="AI56" i="5"/>
  <c r="B56" i="9"/>
  <c r="X56" i="9" s="1"/>
  <c r="CZ58" i="5"/>
  <c r="C57" i="5"/>
  <c r="F57" i="5" s="1"/>
  <c r="AW57" i="5" s="1"/>
  <c r="CK54" i="8"/>
  <c r="AB58" i="1"/>
  <c r="DI58" i="5"/>
  <c r="AC57" i="1"/>
  <c r="DA57" i="5"/>
  <c r="DG57" i="5" s="1" a="1"/>
  <c r="DG57" i="5" s="1"/>
  <c r="AF67" i="9"/>
  <c r="AJ67" i="9"/>
  <c r="AD129" i="9"/>
  <c r="N43" i="1"/>
  <c r="S60" i="2"/>
  <c r="N61" i="2"/>
  <c r="R61" i="2"/>
  <c r="Q60" i="2"/>
  <c r="O62" i="2"/>
  <c r="J62" i="10"/>
  <c r="N62" i="5" s="1"/>
  <c r="M61" i="2"/>
  <c r="P62" i="2"/>
  <c r="CV61" i="5" l="1"/>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G62" i="5" s="1" a="1"/>
  <c r="BG62"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Q57" i="1" s="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N63" i="5" s="1"/>
  <c r="M62" i="2"/>
  <c r="O63" i="2"/>
  <c r="AD60" i="1" l="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O56" i="8"/>
  <c r="F65" i="8"/>
  <c r="AO57" i="5"/>
  <c r="AV58" i="5"/>
  <c r="BP61" i="5" a="1"/>
  <c r="BP61" i="5" s="1"/>
  <c r="AG56" i="7"/>
  <c r="O66" i="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Q58" i="1" s="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D61" i="1" l="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M64" i="5" s="1" a="1"/>
  <c r="BM64"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Q59" i="1" s="1"/>
  <c r="AJ59" i="5"/>
  <c r="AP59" i="5" s="1"/>
  <c r="B59" i="9"/>
  <c r="X59" i="9" s="1"/>
  <c r="AI59" i="5"/>
  <c r="AC60" i="1"/>
  <c r="DA60" i="5"/>
  <c r="DG60" i="5" s="1" a="1"/>
  <c r="DG60" i="5" s="1"/>
  <c r="AB61" i="1"/>
  <c r="DI61" i="5"/>
  <c r="AF70" i="9"/>
  <c r="AJ70" i="9"/>
  <c r="AD132" i="9"/>
  <c r="N46" i="1"/>
  <c r="S63" i="2"/>
  <c r="N64" i="2"/>
  <c r="R64" i="2"/>
  <c r="Q63" i="2"/>
  <c r="J65" i="10"/>
  <c r="N65" i="5" s="1"/>
  <c r="P65" i="2"/>
  <c r="O65" i="2"/>
  <c r="M64" i="2"/>
  <c r="AD62" i="1" l="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C65" i="5" s="1" a="1"/>
  <c r="BC65" i="5" s="1"/>
  <c r="BB64" i="5" a="1"/>
  <c r="BB64" i="5" s="1"/>
  <c r="BE64" i="5" a="1"/>
  <c r="BE64" i="5" s="1"/>
  <c r="CV64" i="5"/>
  <c r="CT64" i="5"/>
  <c r="CS64" i="5"/>
  <c r="CR64" i="5"/>
  <c r="CU64" i="5"/>
  <c r="CQ64" i="5"/>
  <c r="CW64" i="5"/>
  <c r="BL64" i="5" a="1"/>
  <c r="BL64" i="5" s="1"/>
  <c r="AY64" i="5" a="1"/>
  <c r="AY64" i="5" s="1"/>
  <c r="BN64" i="5" a="1"/>
  <c r="BN64" i="5" s="1"/>
  <c r="BO64" i="5" a="1"/>
  <c r="BO64" i="5" s="1"/>
  <c r="V62" i="2"/>
  <c r="O58" i="8"/>
  <c r="CQ57" i="8"/>
  <c r="CR57" i="8" s="1"/>
  <c r="O57" i="8"/>
  <c r="F67" i="8"/>
  <c r="AO59" i="5"/>
  <c r="AV60" i="5"/>
  <c r="BP63" i="5" a="1"/>
  <c r="BP63" i="5" s="1"/>
  <c r="AG58" i="7"/>
  <c r="O68" i="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Q60" i="1" s="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N66" i="5" s="1"/>
  <c r="O66" i="2"/>
  <c r="P66" i="2"/>
  <c r="M65" i="2"/>
  <c r="AD63" i="1" l="1"/>
  <c r="BE65" i="5" a="1"/>
  <c r="BE65" i="5" s="1"/>
  <c r="BB65" i="5" a="1"/>
  <c r="BB65" i="5" s="1"/>
  <c r="BJ65" i="5" a="1"/>
  <c r="BJ65" i="5" s="1"/>
  <c r="BG65" i="5" a="1"/>
  <c r="BG65" i="5" s="1"/>
  <c r="BO65" i="5" a="1"/>
  <c r="BO65" i="5" s="1"/>
  <c r="BK65" i="5" a="1"/>
  <c r="BK65" i="5" s="1"/>
  <c r="BK66" i="5" s="1" a="1"/>
  <c r="BK66" i="5" s="1"/>
  <c r="CW65" i="5"/>
  <c r="CR65" i="5"/>
  <c r="CT65" i="5"/>
  <c r="CU65" i="5"/>
  <c r="CV65" i="5"/>
  <c r="CQ65" i="5"/>
  <c r="CS65" i="5"/>
  <c r="BL65" i="5" a="1"/>
  <c r="BL65" i="5" s="1"/>
  <c r="AY65" i="5" a="1"/>
  <c r="AY65" i="5" s="1"/>
  <c r="BN65" i="5" a="1"/>
  <c r="BN65" i="5" s="1"/>
  <c r="BN66" i="5" s="1" a="1"/>
  <c r="BN66" i="5" s="1"/>
  <c r="BD65" i="5" a="1"/>
  <c r="BD65" i="5" s="1"/>
  <c r="AZ65" i="5" a="1"/>
  <c r="AZ65" i="5" s="1"/>
  <c r="BI65" i="5" a="1"/>
  <c r="BI65" i="5" s="1"/>
  <c r="BF65" i="5" a="1"/>
  <c r="BF65" i="5" s="1"/>
  <c r="BH65" i="5" a="1"/>
  <c r="BH65" i="5" s="1"/>
  <c r="BH66" i="5" s="1" a="1"/>
  <c r="BH66" i="5" s="1"/>
  <c r="BA65" i="5" a="1"/>
  <c r="BA65" i="5" s="1"/>
  <c r="BA66" i="5" s="1" a="1"/>
  <c r="BA66" i="5" s="1"/>
  <c r="BQ65" i="5" a="1"/>
  <c r="BQ65" i="5" s="1"/>
  <c r="BQ66" i="5" s="1" a="1"/>
  <c r="BQ66" i="5" s="1"/>
  <c r="BM65" i="5" a="1"/>
  <c r="BM65" i="5" s="1"/>
  <c r="BM66" i="5" s="1" a="1"/>
  <c r="BM66" i="5" s="1"/>
  <c r="V63" i="2"/>
  <c r="CY57" i="8"/>
  <c r="G57" i="1" s="1"/>
  <c r="M57" i="8" s="1"/>
  <c r="O59" i="8"/>
  <c r="F68" i="8"/>
  <c r="AO60" i="5"/>
  <c r="AV61" i="5"/>
  <c r="BP64" i="5" a="1"/>
  <c r="BP64" i="5" s="1"/>
  <c r="AG59" i="7"/>
  <c r="O69" i="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CA66" i="14" s="1"/>
  <c r="A66" i="8"/>
  <c r="A66" i="9"/>
  <c r="A66" i="2"/>
  <c r="A66" i="5"/>
  <c r="BC66" i="5" s="1" a="1"/>
  <c r="BC66" i="5" s="1"/>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Q61" i="1" s="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N67" i="5" s="1"/>
  <c r="M66" i="2"/>
  <c r="P67" i="2"/>
  <c r="AD64" i="1" l="1"/>
  <c r="BF66" i="5" a="1"/>
  <c r="BF66" i="5" s="1"/>
  <c r="BO66" i="5" a="1"/>
  <c r="BO66" i="5" s="1"/>
  <c r="BI66" i="5" a="1"/>
  <c r="BI66" i="5" s="1"/>
  <c r="BG66" i="5" a="1"/>
  <c r="BG66" i="5" s="1"/>
  <c r="BJ66" i="5" a="1"/>
  <c r="BJ66" i="5" s="1"/>
  <c r="AZ66" i="5" a="1"/>
  <c r="AZ66" i="5" s="1"/>
  <c r="AZ67" i="5" s="1" a="1"/>
  <c r="AZ67" i="5" s="1"/>
  <c r="BB66" i="5" a="1"/>
  <c r="BB66" i="5" s="1"/>
  <c r="BB67" i="5" s="1" a="1"/>
  <c r="BB67" i="5" s="1"/>
  <c r="CS66" i="5"/>
  <c r="CU66" i="5"/>
  <c r="CT66" i="5"/>
  <c r="CW66" i="5"/>
  <c r="CV66" i="5"/>
  <c r="CR66" i="5"/>
  <c r="CQ66" i="5"/>
  <c r="AY66" i="5" a="1"/>
  <c r="AY66" i="5" s="1"/>
  <c r="BL66" i="5" a="1"/>
  <c r="BL66" i="5" s="1"/>
  <c r="AD65" i="1" s="1"/>
  <c r="BD66" i="5" a="1"/>
  <c r="BD66" i="5" s="1"/>
  <c r="BE66" i="5" a="1"/>
  <c r="BE66" i="5" s="1"/>
  <c r="V64" i="2"/>
  <c r="O60" i="8"/>
  <c r="F69" i="8"/>
  <c r="AO61" i="5"/>
  <c r="AV62" i="5"/>
  <c r="BP65" i="5" a="1"/>
  <c r="BP65" i="5" s="1"/>
  <c r="AG60" i="7"/>
  <c r="AI60" i="7" s="1"/>
  <c r="O70" i="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BA67" i="5" s="1" a="1"/>
  <c r="BA67" i="5" s="1"/>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Q62" i="1" s="1"/>
  <c r="AJ62" i="5"/>
  <c r="AP62" i="5" s="1"/>
  <c r="AQ60" i="5"/>
  <c r="AB64" i="1"/>
  <c r="DI64" i="5"/>
  <c r="AC63" i="1"/>
  <c r="DA63" i="5"/>
  <c r="DG63" i="5" s="1" a="1"/>
  <c r="DG63" i="5" s="1"/>
  <c r="AF73" i="9"/>
  <c r="AJ73" i="9"/>
  <c r="AD135" i="9"/>
  <c r="N49" i="1"/>
  <c r="S66" i="2"/>
  <c r="N67" i="2"/>
  <c r="R67" i="2"/>
  <c r="Q66" i="2"/>
  <c r="P68" i="2"/>
  <c r="O68" i="2"/>
  <c r="J68" i="10"/>
  <c r="N68" i="5" s="1"/>
  <c r="M67" i="2"/>
  <c r="BJ67" i="5" l="1"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Q63" i="1" s="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D66" i="1" l="1"/>
  <c r="BH68" i="5" a="1"/>
  <c r="BH68" i="5" s="1"/>
  <c r="BK68" i="5" a="1"/>
  <c r="BK68" i="5" s="1"/>
  <c r="BC68" i="5" a="1"/>
  <c r="BC68" i="5" s="1"/>
  <c r="BF68" i="5" a="1"/>
  <c r="BF68" i="5" s="1"/>
  <c r="BN68" i="5" a="1"/>
  <c r="BN68" i="5" s="1"/>
  <c r="BD68" i="5" a="1"/>
  <c r="BD68" i="5" s="1"/>
  <c r="BD69" i="5" s="1" a="1"/>
  <c r="BD69"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G69" i="5" s="1" a="1"/>
  <c r="BG69" i="5" s="1"/>
  <c r="BB68" i="5" a="1"/>
  <c r="BB68" i="5" s="1"/>
  <c r="BJ68" i="5" a="1"/>
  <c r="BJ68" i="5" s="1"/>
  <c r="AZ68" i="5" a="1"/>
  <c r="AZ68" i="5" s="1"/>
  <c r="BA68" i="5" a="1"/>
  <c r="BA68" i="5" s="1"/>
  <c r="V66" i="2"/>
  <c r="O62" i="8"/>
  <c r="CQ61" i="8"/>
  <c r="CR61" i="8" s="1"/>
  <c r="O61" i="8"/>
  <c r="F71" i="8"/>
  <c r="AO63" i="5"/>
  <c r="AV64" i="5"/>
  <c r="BP67" i="5" a="1"/>
  <c r="BP67" i="5" s="1"/>
  <c r="AG62" i="7"/>
  <c r="AI62" i="7" s="1"/>
  <c r="O72" i="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CA69" i="14" s="1"/>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Q64" i="1" s="1"/>
  <c r="AB66" i="1"/>
  <c r="DI66" i="5"/>
  <c r="C66" i="5"/>
  <c r="AC65" i="1"/>
  <c r="DA65" i="5"/>
  <c r="DG65" i="5" s="1" a="1"/>
  <c r="DG65" i="5" s="1"/>
  <c r="AF75" i="9"/>
  <c r="AJ75" i="9"/>
  <c r="N51" i="1"/>
  <c r="S68" i="2"/>
  <c r="N69" i="2"/>
  <c r="R69" i="2"/>
  <c r="Q68" i="2"/>
  <c r="O70" i="2"/>
  <c r="M69" i="2"/>
  <c r="J70" i="10"/>
  <c r="N70" i="5" s="1"/>
  <c r="P70" i="2"/>
  <c r="AD67" i="1" l="1"/>
  <c r="BA69" i="5" a="1"/>
  <c r="BA69" i="5" s="1"/>
  <c r="BE69" i="5" a="1"/>
  <c r="BE69" i="5" s="1"/>
  <c r="AZ69" i="5" a="1"/>
  <c r="AZ69" i="5" s="1"/>
  <c r="BQ69" i="5" a="1"/>
  <c r="BQ69" i="5" s="1"/>
  <c r="BJ69" i="5" a="1"/>
  <c r="BJ69" i="5" s="1"/>
  <c r="BO69" i="5" a="1"/>
  <c r="BO69" i="5" s="1"/>
  <c r="BB69" i="5" a="1"/>
  <c r="BB69" i="5" s="1"/>
  <c r="BM69" i="5" a="1"/>
  <c r="BM69" i="5" s="1"/>
  <c r="BN69" i="5" a="1"/>
  <c r="BN69" i="5" s="1"/>
  <c r="BN70" i="5" s="1" a="1"/>
  <c r="BN70" i="5" s="1"/>
  <c r="BI69" i="5" a="1"/>
  <c r="BI69" i="5" s="1"/>
  <c r="BI70" i="5" s="1" a="1"/>
  <c r="BI70" i="5" s="1"/>
  <c r="BF69" i="5" a="1"/>
  <c r="BF69" i="5" s="1"/>
  <c r="BC69" i="5" a="1"/>
  <c r="BC69" i="5" s="1"/>
  <c r="BC70" i="5" s="1" a="1"/>
  <c r="BC70" i="5" s="1"/>
  <c r="CT69" i="5"/>
  <c r="CS69" i="5"/>
  <c r="CV69" i="5"/>
  <c r="CR69" i="5"/>
  <c r="CQ69" i="5"/>
  <c r="CW69" i="5"/>
  <c r="CU69" i="5"/>
  <c r="AY69" i="5" a="1"/>
  <c r="AY69" i="5" s="1"/>
  <c r="BL69" i="5" a="1"/>
  <c r="BL69" i="5" s="1"/>
  <c r="BK69" i="5" a="1"/>
  <c r="BK69" i="5" s="1"/>
  <c r="BH69" i="5" a="1"/>
  <c r="BH69" i="5" s="1"/>
  <c r="V67" i="2"/>
  <c r="CY61" i="8"/>
  <c r="G61" i="1" s="1"/>
  <c r="M61" i="8" s="1"/>
  <c r="O63" i="8"/>
  <c r="F72" i="8"/>
  <c r="AO64" i="5"/>
  <c r="AV65" i="5"/>
  <c r="BP68" i="5" a="1"/>
  <c r="BP68" i="5" s="1"/>
  <c r="AG63" i="7"/>
  <c r="AI63" i="7" s="1"/>
  <c r="O73" i="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BD70" i="5" s="1" a="1"/>
  <c r="BD70" i="5" s="1"/>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Q65" i="1" s="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N71" i="5" s="1"/>
  <c r="O71" i="2"/>
  <c r="P71" i="2"/>
  <c r="M70" i="2"/>
  <c r="AD68" i="1" l="1"/>
  <c r="BC71" i="5" a="1"/>
  <c r="BC71" i="5" s="1"/>
  <c r="BF70" i="5" a="1"/>
  <c r="BF70" i="5" s="1"/>
  <c r="BG70" i="5" a="1"/>
  <c r="BG70" i="5" s="1"/>
  <c r="BH70" i="5" a="1"/>
  <c r="BH70" i="5" s="1"/>
  <c r="BK70" i="5" a="1"/>
  <c r="BK70" i="5" s="1"/>
  <c r="BM70" i="5" a="1"/>
  <c r="BM70" i="5" s="1"/>
  <c r="BB70" i="5" a="1"/>
  <c r="BB70" i="5" s="1"/>
  <c r="BO70" i="5" a="1"/>
  <c r="BO70" i="5" s="1"/>
  <c r="BJ70" i="5" a="1"/>
  <c r="BJ70" i="5" s="1"/>
  <c r="BQ70" i="5" a="1"/>
  <c r="BQ70" i="5" s="1"/>
  <c r="BQ71" i="5" s="1" a="1"/>
  <c r="BQ71" i="5" s="1"/>
  <c r="AZ70" i="5" a="1"/>
  <c r="AZ70" i="5" s="1"/>
  <c r="BN71" i="5" a="1"/>
  <c r="BN71" i="5" s="1"/>
  <c r="CW70" i="5"/>
  <c r="CT70" i="5"/>
  <c r="CR70" i="5"/>
  <c r="CS70" i="5"/>
  <c r="CQ70" i="5"/>
  <c r="CU70" i="5"/>
  <c r="CV70" i="5"/>
  <c r="BL70" i="5" a="1"/>
  <c r="BL70" i="5" s="1"/>
  <c r="AD69" i="1" s="1"/>
  <c r="AY70" i="5" a="1"/>
  <c r="AY70" i="5" s="1"/>
  <c r="BE70" i="5" a="1"/>
  <c r="BE70" i="5" s="1"/>
  <c r="BA70" i="5" a="1"/>
  <c r="BA70" i="5" s="1"/>
  <c r="V68" i="2"/>
  <c r="F73" i="8"/>
  <c r="BY64" i="8"/>
  <c r="O64" i="8" s="1"/>
  <c r="AV66" i="5"/>
  <c r="AO65" i="5"/>
  <c r="BP69" i="5" a="1"/>
  <c r="BP69" i="5" s="1"/>
  <c r="AG64" i="7"/>
  <c r="AI64" i="7" s="1"/>
  <c r="O74" i="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BI71" i="5" s="1" a="1"/>
  <c r="BI71" i="5" s="1"/>
  <c r="A71" i="9"/>
  <c r="A71" i="2"/>
  <c r="A71" i="7"/>
  <c r="R71" i="7" s="1"/>
  <c r="A71" i="8"/>
  <c r="DH68" i="5"/>
  <c r="BT65" i="8"/>
  <c r="BW65" i="8"/>
  <c r="CM65" i="8" s="1"/>
  <c r="E66" i="1"/>
  <c r="Q66" i="1" s="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Z71" i="5" l="1" a="1"/>
  <c r="AZ71" i="5" s="1"/>
  <c r="BJ71" i="5" a="1"/>
  <c r="BJ71" i="5" s="1"/>
  <c r="BO71" i="5" a="1"/>
  <c r="BO71" i="5" s="1"/>
  <c r="BA71" i="5" a="1"/>
  <c r="BA71" i="5" s="1"/>
  <c r="BB71" i="5" a="1"/>
  <c r="BB71" i="5" s="1"/>
  <c r="BE71" i="5" a="1"/>
  <c r="BE71" i="5" s="1"/>
  <c r="BM71" i="5" a="1"/>
  <c r="BM71" i="5" s="1"/>
  <c r="BK71" i="5" a="1"/>
  <c r="BK71" i="5" s="1"/>
  <c r="BH71" i="5" a="1"/>
  <c r="BH71" i="5" s="1"/>
  <c r="BH72" i="5" s="1" a="1"/>
  <c r="BH72" i="5" s="1"/>
  <c r="CW71" i="5"/>
  <c r="CR71" i="5"/>
  <c r="CQ71" i="5"/>
  <c r="CU71" i="5"/>
  <c r="CS71" i="5"/>
  <c r="CT71" i="5"/>
  <c r="CV71" i="5"/>
  <c r="AY71" i="5" a="1"/>
  <c r="AY71" i="5" s="1"/>
  <c r="BL71" i="5" a="1"/>
  <c r="BL71" i="5" s="1"/>
  <c r="AD70" i="1" s="1"/>
  <c r="BG71" i="5" a="1"/>
  <c r="BG71" i="5" s="1"/>
  <c r="BF71" i="5" a="1"/>
  <c r="BF71" i="5" s="1"/>
  <c r="BD71" i="5" a="1"/>
  <c r="BD71" i="5" s="1"/>
  <c r="V69" i="2"/>
  <c r="CQ64" i="8"/>
  <c r="CR64" i="8" s="1"/>
  <c r="O65" i="8"/>
  <c r="CJ65" i="8"/>
  <c r="CN65" i="8" s="1"/>
  <c r="F74" i="8"/>
  <c r="AO66" i="5"/>
  <c r="AV67" i="5"/>
  <c r="BP70" i="5" a="1"/>
  <c r="BP70" i="5" s="1"/>
  <c r="AG65" i="7"/>
  <c r="AI65" i="7" s="1"/>
  <c r="AG66" i="7"/>
  <c r="AI66" i="7" s="1"/>
  <c r="O75" i="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CA72" i="14" s="1"/>
  <c r="A72" i="8"/>
  <c r="A72" i="2"/>
  <c r="A72" i="7"/>
  <c r="R72" i="7" s="1"/>
  <c r="A72" i="9"/>
  <c r="A72" i="5"/>
  <c r="BQ72" i="5" s="1" a="1"/>
  <c r="BQ72" i="5" s="1"/>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Q67" i="1" s="1"/>
  <c r="A67" i="10"/>
  <c r="AA67" i="10" s="1"/>
  <c r="AJ67" i="5"/>
  <c r="AP67" i="5" s="1"/>
  <c r="AC68" i="1"/>
  <c r="DA68" i="5"/>
  <c r="DG68" i="5" s="1" a="1"/>
  <c r="DG68" i="5" s="1"/>
  <c r="AB69" i="1"/>
  <c r="DI69" i="5"/>
  <c r="AF78" i="9"/>
  <c r="AJ78" i="9"/>
  <c r="N54" i="1"/>
  <c r="S71" i="2"/>
  <c r="N72" i="2"/>
  <c r="R72" i="2"/>
  <c r="Q71" i="2"/>
  <c r="M72" i="2"/>
  <c r="P73" i="2"/>
  <c r="J73" i="10"/>
  <c r="N73" i="5" s="1"/>
  <c r="O73" i="2"/>
  <c r="BK72" i="5" l="1" a="1"/>
  <c r="BK72" i="5" s="1"/>
  <c r="BD72" i="5" a="1"/>
  <c r="BD72" i="5" s="1"/>
  <c r="CW72" i="5"/>
  <c r="CS72" i="5"/>
  <c r="CV72" i="5"/>
  <c r="CR72" i="5"/>
  <c r="CU72" i="5"/>
  <c r="CT72" i="5"/>
  <c r="CQ72" i="5"/>
  <c r="BL72" i="5" a="1"/>
  <c r="BL72" i="5" s="1"/>
  <c r="AY72" i="5" a="1"/>
  <c r="AY72" i="5" s="1"/>
  <c r="BC72" i="5" a="1"/>
  <c r="BC72" i="5" s="1"/>
  <c r="BC73" i="5" s="1" a="1"/>
  <c r="BC73" i="5" s="1"/>
  <c r="BM72" i="5" a="1"/>
  <c r="BM72" i="5" s="1"/>
  <c r="BM73" i="5" s="1" a="1"/>
  <c r="BM73" i="5" s="1"/>
  <c r="BF72" i="5" a="1"/>
  <c r="BF72" i="5" s="1"/>
  <c r="BF73" i="5" s="1" a="1"/>
  <c r="BF73" i="5" s="1"/>
  <c r="BE72" i="5" a="1"/>
  <c r="BE72" i="5" s="1"/>
  <c r="BE73" i="5" s="1" a="1"/>
  <c r="BE73" i="5" s="1"/>
  <c r="BG72" i="5" a="1"/>
  <c r="BG72" i="5" s="1"/>
  <c r="BB72" i="5" a="1"/>
  <c r="BB72" i="5" s="1"/>
  <c r="BA72" i="5" a="1"/>
  <c r="BA72" i="5" s="1"/>
  <c r="BO72" i="5" a="1"/>
  <c r="BO72" i="5" s="1"/>
  <c r="BJ72" i="5" a="1"/>
  <c r="BJ72" i="5" s="1"/>
  <c r="BJ73" i="5" s="1" a="1"/>
  <c r="BJ73" i="5" s="1"/>
  <c r="AZ72" i="5" a="1"/>
  <c r="AZ72" i="5" s="1"/>
  <c r="BN72" i="5" a="1"/>
  <c r="BN72" i="5" s="1"/>
  <c r="BI72" i="5" a="1"/>
  <c r="BI72" i="5" s="1"/>
  <c r="CY64" i="8"/>
  <c r="G64" i="1" s="1"/>
  <c r="M64" i="8" s="1"/>
  <c r="V70" i="2"/>
  <c r="CL65" i="8"/>
  <c r="CY65" i="8" s="1"/>
  <c r="G65" i="1" s="1"/>
  <c r="M65" i="8" s="1"/>
  <c r="F75" i="8"/>
  <c r="CJ66" i="8"/>
  <c r="CN66" i="8" s="1"/>
  <c r="AO67" i="5"/>
  <c r="AV68" i="5"/>
  <c r="BP71" i="5" a="1"/>
  <c r="BP71" i="5" s="1"/>
  <c r="O76" i="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R72" i="8"/>
  <c r="AD72" i="8"/>
  <c r="AQ66" i="5"/>
  <c r="D68" i="9"/>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Q68" i="1" s="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N74" i="5" s="1"/>
  <c r="AD71" i="1" l="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L66" i="8"/>
  <c r="CQ66" i="8"/>
  <c r="CR66" i="8" s="1"/>
  <c r="O66" i="8"/>
  <c r="AO68" i="5"/>
  <c r="AV69" i="5"/>
  <c r="BP72" i="5" a="1"/>
  <c r="BP72" i="5" s="1"/>
  <c r="AG67" i="7"/>
  <c r="AI67" i="7" s="1"/>
  <c r="O77" i="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Q69" i="1" s="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N75" i="5" s="1"/>
  <c r="O75" i="2"/>
  <c r="M74" i="2"/>
  <c r="P75" i="2"/>
  <c r="AD72" i="1" l="1"/>
  <c r="CR74" i="5"/>
  <c r="CQ74" i="5"/>
  <c r="CV74" i="5"/>
  <c r="CU74" i="5"/>
  <c r="CT74" i="5"/>
  <c r="CW74" i="5"/>
  <c r="CS74" i="5"/>
  <c r="AY74" i="5" a="1"/>
  <c r="AY74" i="5" s="1"/>
  <c r="BL74" i="5" a="1"/>
  <c r="BL74" i="5" s="1"/>
  <c r="BQ74" i="5" a="1"/>
  <c r="BQ74" i="5" s="1"/>
  <c r="BE74" i="5" a="1"/>
  <c r="BE74" i="5" s="1"/>
  <c r="BE75" i="5" s="1" a="1"/>
  <c r="BE75" i="5" s="1"/>
  <c r="BK74" i="5" a="1"/>
  <c r="BK74" i="5" s="1"/>
  <c r="BA74" i="5" a="1"/>
  <c r="BA74" i="5" s="1"/>
  <c r="BA75" i="5" s="1" a="1"/>
  <c r="BA75" i="5" s="1"/>
  <c r="BG74" i="5" a="1"/>
  <c r="BG74" i="5" s="1"/>
  <c r="BG75" i="5" s="1" a="1"/>
  <c r="BG75" i="5" s="1"/>
  <c r="BO74" i="5" a="1"/>
  <c r="BO74" i="5" s="1"/>
  <c r="BO75" i="5" s="1" a="1"/>
  <c r="BO75" i="5" s="1"/>
  <c r="BD74" i="5" a="1"/>
  <c r="BD74" i="5" s="1"/>
  <c r="BD75" i="5" s="1" a="1"/>
  <c r="BD75" i="5" s="1"/>
  <c r="BJ74" i="5" a="1"/>
  <c r="BJ74" i="5" s="1"/>
  <c r="BB74" i="5" a="1"/>
  <c r="BB74" i="5" s="1"/>
  <c r="AZ74" i="5" a="1"/>
  <c r="AZ74" i="5" s="1"/>
  <c r="BM74" i="5" a="1"/>
  <c r="BM74" i="5" s="1"/>
  <c r="BF74" i="5" a="1"/>
  <c r="BF74" i="5" s="1"/>
  <c r="BH74" i="5" a="1"/>
  <c r="BH74" i="5" s="1"/>
  <c r="BN74" i="5" a="1"/>
  <c r="BN74" i="5" s="1"/>
  <c r="BI74" i="5" a="1"/>
  <c r="BI74" i="5" s="1"/>
  <c r="BC74" i="5" a="1"/>
  <c r="BC74" i="5" s="1"/>
  <c r="CY66" i="8"/>
  <c r="G66" i="1" s="1"/>
  <c r="M66" i="8" s="1"/>
  <c r="V72" i="2"/>
  <c r="O68" i="8"/>
  <c r="CQ67" i="8"/>
  <c r="CR67" i="8" s="1"/>
  <c r="O67" i="8"/>
  <c r="F77" i="8"/>
  <c r="AO69" i="5"/>
  <c r="AV70" i="5"/>
  <c r="BP73" i="5" a="1"/>
  <c r="BP73" i="5" s="1"/>
  <c r="AG68" i="7"/>
  <c r="AI68" i="7" s="1"/>
  <c r="O78" i="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Q70" i="1" s="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N76" i="5" s="1"/>
  <c r="P76" i="2"/>
  <c r="M75" i="2"/>
  <c r="AD73" i="1" l="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CY67" i="8"/>
  <c r="G67" i="1" s="1"/>
  <c r="M67" i="8" s="1"/>
  <c r="O69" i="8"/>
  <c r="F78" i="8"/>
  <c r="AO70" i="5"/>
  <c r="AV71" i="5"/>
  <c r="BP74" i="5" a="1"/>
  <c r="BP74" i="5" s="1"/>
  <c r="AG69" i="7"/>
  <c r="AI69" i="7" s="1"/>
  <c r="AG70" i="7"/>
  <c r="AI70" i="7" s="1"/>
  <c r="O79" i="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BO76" i="5" s="1" a="1"/>
  <c r="BO76" i="5" s="1"/>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Q71" i="1" s="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N77" i="5" s="1"/>
  <c r="B38" i="4"/>
  <c r="O77" i="2"/>
  <c r="M76" i="2"/>
  <c r="P77" i="2"/>
  <c r="B39" i="4"/>
  <c r="AD74" i="1" l="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O70" i="8"/>
  <c r="CJ70" i="8"/>
  <c r="CN70" i="8" s="1"/>
  <c r="F79" i="8"/>
  <c r="AO71" i="5"/>
  <c r="AV72" i="5"/>
  <c r="BP75" i="5" a="1"/>
  <c r="BP75" i="5" s="1"/>
  <c r="DA72" i="8"/>
  <c r="DB72" i="8" s="1"/>
  <c r="O80" i="1"/>
  <c r="BS71" i="8"/>
  <c r="BY71" i="8" s="1"/>
  <c r="BO71" i="8"/>
  <c r="BK71" i="8"/>
  <c r="BL71" i="8"/>
  <c r="BI71" i="8"/>
  <c r="BJ71" i="8"/>
  <c r="BG71" i="8"/>
  <c r="BH71" i="8"/>
  <c r="BF71" i="8"/>
  <c r="AC71" i="10"/>
  <c r="X71" i="10" s="1"/>
  <c r="AM71" i="5"/>
  <c r="AN71" i="5"/>
  <c r="CK70" i="8"/>
  <c r="CU70" i="8"/>
  <c r="AM75" i="1"/>
  <c r="AS75" i="5"/>
  <c r="E79" i="8"/>
  <c r="AH75" i="11"/>
  <c r="DF74" i="5"/>
  <c r="AK75" i="11"/>
  <c r="DB74" i="5"/>
  <c r="AR76" i="8"/>
  <c r="AD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BZ70" i="8"/>
  <c r="CQ70" i="8" s="1"/>
  <c r="CR70" i="8" s="1"/>
  <c r="AQ70" i="5"/>
  <c r="E72" i="1"/>
  <c r="Q72" i="1" s="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N78" i="5" s="1"/>
  <c r="P78" i="2"/>
  <c r="AD75" i="1" l="1"/>
  <c r="CV77" i="5"/>
  <c r="CU77" i="5"/>
  <c r="CS77" i="5"/>
  <c r="CR77" i="5"/>
  <c r="CT77" i="5"/>
  <c r="CW77" i="5"/>
  <c r="CQ77" i="5"/>
  <c r="AY77" i="5" a="1"/>
  <c r="AY77" i="5" s="1"/>
  <c r="BL77" i="5" a="1"/>
  <c r="BL77" i="5" s="1"/>
  <c r="BK77" i="5" a="1"/>
  <c r="BK77" i="5" s="1"/>
  <c r="BI77" i="5" a="1"/>
  <c r="BI77" i="5" s="1"/>
  <c r="BI78" i="5" s="1" a="1"/>
  <c r="BI78" i="5" s="1"/>
  <c r="BE77" i="5" a="1"/>
  <c r="BE77" i="5" s="1"/>
  <c r="BE78" i="5" s="1" a="1"/>
  <c r="BE78" i="5" s="1"/>
  <c r="AZ77" i="5" a="1"/>
  <c r="AZ77" i="5" s="1"/>
  <c r="AZ78" i="5" s="1" a="1"/>
  <c r="AZ78" i="5" s="1"/>
  <c r="BC77" i="5" a="1"/>
  <c r="BC77" i="5" s="1"/>
  <c r="BC78" i="5" s="1" a="1"/>
  <c r="BC78" i="5" s="1"/>
  <c r="BN77" i="5" a="1"/>
  <c r="BN77" i="5" s="1"/>
  <c r="BN78" i="5" s="1" a="1"/>
  <c r="BN78"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L70" i="8"/>
  <c r="CY70" i="8" s="1"/>
  <c r="G70" i="1" s="1"/>
  <c r="M70" i="8" s="1"/>
  <c r="CD72" i="8"/>
  <c r="CT72" i="8" s="1"/>
  <c r="O71" i="8"/>
  <c r="F80" i="8"/>
  <c r="AO72" i="5"/>
  <c r="AV73" i="5"/>
  <c r="BP76" i="5" a="1"/>
  <c r="BP76" i="5" s="1"/>
  <c r="AG72" i="7"/>
  <c r="AI72" i="7" s="1"/>
  <c r="AG71" i="7"/>
  <c r="AI71" i="7" s="1"/>
  <c r="O81" i="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Q73" i="1" s="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N79" i="5" s="1"/>
  <c r="O79" i="2"/>
  <c r="P79" i="2"/>
  <c r="AD76" i="1" l="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D77" i="1" s="1"/>
  <c r="AY78" i="5" a="1"/>
  <c r="AY78" i="5" s="1"/>
  <c r="BG78" i="5" a="1"/>
  <c r="BG78" i="5" s="1"/>
  <c r="BH78" i="5" a="1"/>
  <c r="BH78" i="5" s="1"/>
  <c r="BD78" i="5" a="1"/>
  <c r="BD78" i="5" s="1"/>
  <c r="BQ78" i="5" a="1"/>
  <c r="BQ78" i="5" s="1"/>
  <c r="V76" i="2"/>
  <c r="CU72" i="8"/>
  <c r="O72" i="8"/>
  <c r="CJ72" i="8"/>
  <c r="CN72" i="8" s="1"/>
  <c r="F81" i="8"/>
  <c r="AO73" i="5"/>
  <c r="AV74" i="5"/>
  <c r="BP77" i="5" a="1"/>
  <c r="BP77" i="5" s="1"/>
  <c r="E65" i="4"/>
  <c r="AG73" i="7"/>
  <c r="AI73" i="7" s="1"/>
  <c r="O82" i="1"/>
  <c r="BZ72" i="8"/>
  <c r="CQ72" i="8" s="1"/>
  <c r="CR72" i="8"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BE79" i="5" s="1" a="1"/>
  <c r="BE79" i="5" s="1"/>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Q74" i="1" s="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BM79" i="5" l="1" a="1"/>
  <c r="BM79" i="5" s="1"/>
  <c r="BB79" i="5" a="1"/>
  <c r="BB79" i="5" s="1"/>
  <c r="BQ79" i="5" a="1"/>
  <c r="BQ79" i="5" s="1"/>
  <c r="BD79" i="5" a="1"/>
  <c r="BD79" i="5" s="1"/>
  <c r="BJ79" i="5" a="1"/>
  <c r="BJ79" i="5" s="1"/>
  <c r="BI79" i="5" a="1"/>
  <c r="BI79" i="5" s="1"/>
  <c r="BH79" i="5" a="1"/>
  <c r="BH79" i="5" s="1"/>
  <c r="BA79" i="5" a="1"/>
  <c r="BA79" i="5" s="1"/>
  <c r="BG79" i="5" a="1"/>
  <c r="BG79" i="5" s="1"/>
  <c r="BG80" i="5" s="1" a="1"/>
  <c r="BG80" i="5" s="1"/>
  <c r="BF79" i="5" a="1"/>
  <c r="BF79" i="5" s="1"/>
  <c r="BO79" i="5" a="1"/>
  <c r="BO79" i="5" s="1"/>
  <c r="BO80" i="5" s="1" a="1"/>
  <c r="BO80" i="5" s="1"/>
  <c r="BK79" i="5" a="1"/>
  <c r="BK79" i="5" s="1"/>
  <c r="BK80" i="5" s="1" a="1"/>
  <c r="BK80" i="5" s="1"/>
  <c r="CV79" i="5"/>
  <c r="CU79" i="5"/>
  <c r="CQ79" i="5"/>
  <c r="CT79" i="5"/>
  <c r="CR79" i="5"/>
  <c r="CS79" i="5"/>
  <c r="CW79" i="5"/>
  <c r="BL79" i="5" a="1"/>
  <c r="BL79" i="5" s="1"/>
  <c r="AY79" i="5" a="1"/>
  <c r="AY79" i="5" s="1"/>
  <c r="BC79" i="5" a="1"/>
  <c r="BC79" i="5" s="1"/>
  <c r="AZ79" i="5" a="1"/>
  <c r="AZ79" i="5" s="1"/>
  <c r="BN79" i="5" a="1"/>
  <c r="BN79" i="5" s="1"/>
  <c r="V77" i="2"/>
  <c r="CL72" i="8"/>
  <c r="CY72" i="8" s="1"/>
  <c r="G72" i="1" s="1"/>
  <c r="M72" i="8" s="1"/>
  <c r="O73" i="8"/>
  <c r="F82" i="8"/>
  <c r="CJ73" i="8"/>
  <c r="CN73" i="8" s="1"/>
  <c r="AO74" i="5"/>
  <c r="AV75" i="5"/>
  <c r="BP78" i="5" a="1"/>
  <c r="BP78" i="5" s="1"/>
  <c r="O83" i="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D79" i="8"/>
  <c r="AR79" i="8"/>
  <c r="AR73" i="5"/>
  <c r="AB75" i="8"/>
  <c r="BM75" i="8" s="1"/>
  <c r="AQ73" i="5"/>
  <c r="BD75" i="8"/>
  <c r="BP75" i="8" s="1"/>
  <c r="AJ75" i="5"/>
  <c r="AP75" i="5" s="1"/>
  <c r="B75" i="7"/>
  <c r="AE75" i="7" s="1"/>
  <c r="AF75" i="7" s="1"/>
  <c r="B75" i="9"/>
  <c r="X75" i="9" s="1"/>
  <c r="BT75" i="5"/>
  <c r="E75" i="1"/>
  <c r="Q75" i="1" s="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N81" i="5" s="1"/>
  <c r="M80" i="2"/>
  <c r="AD78" i="1" l="1"/>
  <c r="BF80" i="5" a="1"/>
  <c r="BF80" i="5" s="1"/>
  <c r="CV80" i="5"/>
  <c r="CT80" i="5"/>
  <c r="CQ80" i="5"/>
  <c r="CW80" i="5"/>
  <c r="CS80" i="5"/>
  <c r="CU80" i="5"/>
  <c r="CR80" i="5"/>
  <c r="AY80" i="5" a="1"/>
  <c r="AY80" i="5" s="1"/>
  <c r="BL80" i="5" a="1"/>
  <c r="BL80" i="5" s="1"/>
  <c r="BN80" i="5" a="1"/>
  <c r="BN80" i="5" s="1"/>
  <c r="BN81" i="5" s="1" a="1"/>
  <c r="BN81" i="5" s="1"/>
  <c r="BA80" i="5" a="1"/>
  <c r="BA80" i="5" s="1"/>
  <c r="BA81" i="5" s="1" a="1"/>
  <c r="BA81" i="5" s="1"/>
  <c r="AZ80" i="5" a="1"/>
  <c r="AZ80" i="5" s="1"/>
  <c r="BH80" i="5" a="1"/>
  <c r="BH80" i="5" s="1"/>
  <c r="BH81" i="5" s="1" a="1"/>
  <c r="BH81" i="5" s="1"/>
  <c r="BO81" i="5" a="1"/>
  <c r="BO81" i="5" s="1"/>
  <c r="BC80" i="5" a="1"/>
  <c r="BC80" i="5" s="1"/>
  <c r="BI80" i="5" a="1"/>
  <c r="BI80" i="5" s="1"/>
  <c r="BJ80" i="5" a="1"/>
  <c r="BJ80" i="5" s="1"/>
  <c r="BD80" i="5" a="1"/>
  <c r="BD80" i="5" s="1"/>
  <c r="BQ80" i="5" a="1"/>
  <c r="BQ80" i="5" s="1"/>
  <c r="BB80" i="5" a="1"/>
  <c r="BB80" i="5" s="1"/>
  <c r="BM80" i="5" a="1"/>
  <c r="BM80" i="5" s="1"/>
  <c r="BE80" i="5" a="1"/>
  <c r="BE80" i="5" s="1"/>
  <c r="V78" i="2"/>
  <c r="CL73" i="8"/>
  <c r="CY73" i="8" s="1"/>
  <c r="G73" i="1" s="1"/>
  <c r="M73" i="8" s="1"/>
  <c r="O74" i="8"/>
  <c r="CJ75" i="8"/>
  <c r="CN75" i="8" s="1"/>
  <c r="F83" i="8"/>
  <c r="AO75" i="5"/>
  <c r="AV76" i="5"/>
  <c r="BP79" i="5" a="1"/>
  <c r="BP79" i="5" s="1"/>
  <c r="AG74" i="7"/>
  <c r="AI74" i="7" s="1"/>
  <c r="AG75" i="7"/>
  <c r="AI75" i="7" s="1"/>
  <c r="O84" i="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I51" i="4" s="1"/>
  <c r="A76" i="10"/>
  <c r="AA76" i="10" s="1"/>
  <c r="B76" i="7"/>
  <c r="AI76" i="5"/>
  <c r="A76" i="11"/>
  <c r="W76" i="8"/>
  <c r="CW76" i="8" s="1"/>
  <c r="E76" i="1"/>
  <c r="Q76" i="1" s="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I50" i="4" l="1"/>
  <c r="F67" i="4"/>
  <c r="D78" i="4" s="1"/>
  <c r="AD79" i="1"/>
  <c r="AZ81" i="5" a="1"/>
  <c r="AZ81" i="5" s="1"/>
  <c r="CW81" i="5"/>
  <c r="CS81" i="5"/>
  <c r="CR81" i="5"/>
  <c r="CT81" i="5"/>
  <c r="CU81" i="5"/>
  <c r="CV81" i="5"/>
  <c r="CQ81" i="5"/>
  <c r="AY81" i="5" a="1"/>
  <c r="AY81" i="5" s="1"/>
  <c r="BL81" i="5" a="1"/>
  <c r="BL81" i="5" s="1"/>
  <c r="AD80" i="1" s="1"/>
  <c r="BE81" i="5" a="1"/>
  <c r="BE81" i="5" s="1"/>
  <c r="BE82" i="5" s="1" a="1"/>
  <c r="BE82" i="5" s="1"/>
  <c r="BA82" i="5" a="1"/>
  <c r="BA82" i="5" s="1"/>
  <c r="BM81" i="5" a="1"/>
  <c r="BM81" i="5" s="1"/>
  <c r="BM82" i="5" s="1" a="1"/>
  <c r="BM82" i="5" s="1"/>
  <c r="BB81" i="5" a="1"/>
  <c r="BB81" i="5" s="1"/>
  <c r="BQ81" i="5" a="1"/>
  <c r="BQ81" i="5" s="1"/>
  <c r="BD81" i="5" a="1"/>
  <c r="BD81" i="5" s="1"/>
  <c r="BJ81" i="5" a="1"/>
  <c r="BJ81" i="5" s="1"/>
  <c r="BK81" i="5" a="1"/>
  <c r="BK81" i="5" s="1"/>
  <c r="BI81" i="5" a="1"/>
  <c r="BI81" i="5" s="1"/>
  <c r="BG81" i="5" a="1"/>
  <c r="BG81" i="5" s="1"/>
  <c r="BC81" i="5" a="1"/>
  <c r="BC81" i="5" s="1"/>
  <c r="BF81" i="5" a="1"/>
  <c r="BF81" i="5" s="1"/>
  <c r="BF82" i="5" s="1" a="1"/>
  <c r="BF82" i="5" s="1"/>
  <c r="V79" i="2"/>
  <c r="O75" i="8"/>
  <c r="F84" i="8"/>
  <c r="AO76" i="5"/>
  <c r="AV77" i="5"/>
  <c r="BP80" i="5" a="1"/>
  <c r="BP80" i="5" s="1"/>
  <c r="BE77" i="8"/>
  <c r="BN77" i="8" s="1"/>
  <c r="O85" i="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A77" i="8"/>
  <c r="DB77" i="8" s="1"/>
  <c r="B77" i="7"/>
  <c r="Q77" i="7" s="1"/>
  <c r="BD77" i="8"/>
  <c r="BP77" i="8" s="1"/>
  <c r="A77" i="11"/>
  <c r="AB76" i="11" s="1"/>
  <c r="P76" i="8" s="1"/>
  <c r="E77" i="1"/>
  <c r="Q77" i="1" s="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J50" i="4"/>
  <c r="F56" i="4"/>
  <c r="F58" i="4"/>
  <c r="F60" i="4"/>
  <c r="F63" i="4"/>
  <c r="C80" i="4" s="1"/>
  <c r="B24" i="4" s="1"/>
  <c r="C38" i="4" s="1"/>
  <c r="F64" i="4"/>
  <c r="F53" i="4"/>
  <c r="F49" i="4"/>
  <c r="F66" i="4"/>
  <c r="F62" i="4"/>
  <c r="F59" i="4"/>
  <c r="F55" i="4"/>
  <c r="F52" i="4"/>
  <c r="F50" i="4"/>
  <c r="F48" i="4"/>
  <c r="D85" i="4"/>
  <c r="B52" i="4"/>
  <c r="F65" i="4"/>
  <c r="E68" i="4"/>
  <c r="F68"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N83" i="5" s="1"/>
  <c r="M82" i="2"/>
  <c r="C82" i="4" l="1"/>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O76" i="8"/>
  <c r="F85" i="8"/>
  <c r="AO77" i="5"/>
  <c r="AV78" i="5"/>
  <c r="BP81" i="5" a="1"/>
  <c r="BP81" i="5" s="1"/>
  <c r="AG76" i="7"/>
  <c r="AI76" i="7" s="1"/>
  <c r="O86" i="1"/>
  <c r="B25" i="4"/>
  <c r="C39" i="4"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Q78" i="1" s="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N84" i="5" s="1"/>
  <c r="O84" i="2"/>
  <c r="M83" i="2"/>
  <c r="AD81" i="1" l="1"/>
  <c r="CT83" i="5"/>
  <c r="CS83" i="5"/>
  <c r="CV83" i="5"/>
  <c r="CW83" i="5"/>
  <c r="CR83" i="5"/>
  <c r="CU83" i="5"/>
  <c r="CQ83" i="5"/>
  <c r="AY83" i="5" a="1"/>
  <c r="AY83" i="5" s="1"/>
  <c r="BL83" i="5" a="1"/>
  <c r="BL83" i="5" s="1"/>
  <c r="BO83" i="5" a="1"/>
  <c r="BO83" i="5" s="1"/>
  <c r="AZ83" i="5" a="1"/>
  <c r="AZ83" i="5" s="1"/>
  <c r="AZ84" i="5" s="1" a="1"/>
  <c r="AZ84" i="5" s="1"/>
  <c r="BI83" i="5" a="1"/>
  <c r="BI83" i="5" s="1"/>
  <c r="BI84" i="5" s="1" a="1"/>
  <c r="BI84"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J77" i="8"/>
  <c r="CN77" i="8" s="1"/>
  <c r="F86" i="8"/>
  <c r="AO78" i="5"/>
  <c r="AV79" i="5"/>
  <c r="BP82" i="5" a="1"/>
  <c r="BP82" i="5" s="1"/>
  <c r="AG78" i="7"/>
  <c r="AI78" i="7" s="1"/>
  <c r="AG77" i="7"/>
  <c r="AI77" i="7" s="1"/>
  <c r="O87" i="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CA84" i="14" s="1"/>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Q79" i="1" s="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C40" i="4"/>
  <c r="I48" i="4" s="1"/>
  <c r="AD82" i="1" l="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L77" i="8"/>
  <c r="CQ77" i="8"/>
  <c r="CR77" i="8" s="1"/>
  <c r="O77" i="8"/>
  <c r="CJ78" i="8"/>
  <c r="CN78" i="8" s="1"/>
  <c r="F87" i="8"/>
  <c r="AO79" i="5"/>
  <c r="AV80" i="5"/>
  <c r="BP83" i="5" a="1"/>
  <c r="BP83" i="5" s="1"/>
  <c r="O88" i="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Q80" i="1" s="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N86" i="5" s="1"/>
  <c r="M85" i="2"/>
  <c r="BC85" i="5" l="1" a="1"/>
  <c r="BC85" i="5" s="1"/>
  <c r="CT85" i="5"/>
  <c r="CS85" i="5"/>
  <c r="CV85" i="5"/>
  <c r="CR85" i="5"/>
  <c r="CQ85" i="5"/>
  <c r="CW85" i="5"/>
  <c r="CU85" i="5"/>
  <c r="AY85" i="5" a="1"/>
  <c r="AY85" i="5" s="1"/>
  <c r="BL85" i="5" a="1"/>
  <c r="BL85" i="5" s="1"/>
  <c r="BG85" i="5" a="1"/>
  <c r="BG85" i="5" s="1"/>
  <c r="BG86" i="5" s="1" a="1"/>
  <c r="BG86" i="5" s="1"/>
  <c r="BH85" i="5" a="1"/>
  <c r="BH85" i="5" s="1"/>
  <c r="BJ85" i="5" a="1"/>
  <c r="BJ85" i="5" s="1"/>
  <c r="BJ86" i="5" s="1" a="1"/>
  <c r="BJ86" i="5" s="1"/>
  <c r="BQ85" i="5" a="1"/>
  <c r="BQ85" i="5" s="1"/>
  <c r="BQ86" i="5" s="1" a="1"/>
  <c r="BQ86" i="5" s="1"/>
  <c r="AZ85" i="5" a="1"/>
  <c r="AZ85" i="5" s="1"/>
  <c r="AZ86" i="5" s="1" a="1"/>
  <c r="AZ86"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BN86" i="5" s="1" a="1"/>
  <c r="BN86" i="5" s="1"/>
  <c r="CY77" i="8"/>
  <c r="G77" i="1" s="1"/>
  <c r="M77" i="8" s="1"/>
  <c r="V83" i="2"/>
  <c r="CL78" i="8"/>
  <c r="O79" i="8"/>
  <c r="CQ78" i="8"/>
  <c r="CR78" i="8" s="1"/>
  <c r="O78" i="8"/>
  <c r="F88" i="8"/>
  <c r="AO80" i="5"/>
  <c r="AV81" i="5"/>
  <c r="BP84" i="5" a="1"/>
  <c r="BP84" i="5" s="1"/>
  <c r="AG79" i="7"/>
  <c r="AI79" i="7" s="1"/>
  <c r="O89" i="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Q81" i="1" s="1"/>
  <c r="B81" i="9"/>
  <c r="X81" i="9" s="1"/>
  <c r="AI81" i="5"/>
  <c r="AB81" i="8"/>
  <c r="BM81" i="8" s="1"/>
  <c r="J82" i="2"/>
  <c r="CK79" i="8"/>
  <c r="AC82" i="1"/>
  <c r="DA82" i="5"/>
  <c r="DG82" i="5" s="1" a="1"/>
  <c r="DG82" i="5" s="1"/>
  <c r="AB83" i="1"/>
  <c r="DI83" i="5"/>
  <c r="AF92" i="9"/>
  <c r="AJ92" i="9"/>
  <c r="N68" i="1"/>
  <c r="S85" i="2"/>
  <c r="N86" i="2"/>
  <c r="R86" i="2"/>
  <c r="Q85" i="2"/>
  <c r="J87" i="10"/>
  <c r="N87" i="5" s="1"/>
  <c r="P87" i="2"/>
  <c r="M86" i="2"/>
  <c r="O87" i="2"/>
  <c r="AD84" i="1" l="1"/>
  <c r="BH86" i="5" a="1"/>
  <c r="BH86" i="5" s="1"/>
  <c r="BM86" i="5" a="1"/>
  <c r="BM86" i="5" s="1"/>
  <c r="CW86" i="5"/>
  <c r="CT86" i="5"/>
  <c r="CR86" i="5"/>
  <c r="CQ86" i="5"/>
  <c r="CV86" i="5"/>
  <c r="CS86" i="5"/>
  <c r="CU86" i="5"/>
  <c r="AY86" i="5" a="1"/>
  <c r="AY86" i="5" s="1"/>
  <c r="BL86" i="5" a="1"/>
  <c r="BL86" i="5" s="1"/>
  <c r="AD85" i="1" s="1"/>
  <c r="BB86" i="5" a="1"/>
  <c r="BB86" i="5" s="1"/>
  <c r="BB87" i="5" s="1" a="1"/>
  <c r="BB87" i="5" s="1"/>
  <c r="BA87" i="5" a="1"/>
  <c r="BA87" i="5" s="1"/>
  <c r="BE86" i="5" a="1"/>
  <c r="BE86" i="5" s="1"/>
  <c r="BO86" i="5" a="1"/>
  <c r="BO86" i="5" s="1"/>
  <c r="BD86" i="5" a="1"/>
  <c r="BD86" i="5" s="1"/>
  <c r="BK86" i="5" a="1"/>
  <c r="BK86" i="5" s="1"/>
  <c r="BK87" i="5" s="1" a="1"/>
  <c r="BK87" i="5" s="1"/>
  <c r="BI86" i="5" a="1"/>
  <c r="BI86" i="5" s="1"/>
  <c r="BF86" i="5" a="1"/>
  <c r="BF86" i="5" s="1"/>
  <c r="BC86" i="5" a="1"/>
  <c r="BC86" i="5" s="1"/>
  <c r="CY78" i="8"/>
  <c r="G78" i="1" s="1"/>
  <c r="M78" i="8" s="1"/>
  <c r="V84" i="2"/>
  <c r="O80" i="8"/>
  <c r="F89" i="8"/>
  <c r="AO81" i="5"/>
  <c r="AV82" i="5"/>
  <c r="BP85" i="5" a="1"/>
  <c r="BP85" i="5" s="1"/>
  <c r="AG80" i="7"/>
  <c r="AI80" i="7" s="1"/>
  <c r="O90" i="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CA87" i="14" s="1"/>
  <c r="A87" i="5"/>
  <c r="BN87" i="5" s="1" a="1"/>
  <c r="BN87" i="5" s="1"/>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Q82" i="1" s="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N88" i="5" s="1"/>
  <c r="P88" i="2"/>
  <c r="O88" i="2"/>
  <c r="BC87" i="5" l="1"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AD86" i="1" s="1"/>
  <c r="BO87" i="5" a="1"/>
  <c r="BO87" i="5" s="1"/>
  <c r="BJ87" i="5" a="1"/>
  <c r="BJ87" i="5" s="1"/>
  <c r="BE87" i="5" a="1"/>
  <c r="BE87" i="5" s="1"/>
  <c r="BH87" i="5" a="1"/>
  <c r="BH87" i="5" s="1"/>
  <c r="BG87" i="5" a="1"/>
  <c r="BG87" i="5" s="1"/>
  <c r="AZ87" i="5" a="1"/>
  <c r="AZ87" i="5" s="1"/>
  <c r="V85" i="2"/>
  <c r="O81" i="8"/>
  <c r="F90" i="8"/>
  <c r="AO82" i="5"/>
  <c r="AV83" i="5"/>
  <c r="BP86" i="5" a="1"/>
  <c r="BP86" i="5" s="1"/>
  <c r="AG81" i="7"/>
  <c r="AI81" i="7" s="1"/>
  <c r="O91" i="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BK88" i="5" s="1" a="1"/>
  <c r="BK88" i="5" s="1"/>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Q83" i="1" s="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N89" i="5" s="1"/>
  <c r="O89" i="2"/>
  <c r="M88" i="2"/>
  <c r="AZ88" i="5" l="1"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BF89" i="5" s="1" a="1"/>
  <c r="BF89"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Q84" i="1" s="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AD87" i="1" l="1"/>
  <c r="CQ89" i="5"/>
  <c r="CW89" i="5"/>
  <c r="CR89" i="5"/>
  <c r="CV89" i="5"/>
  <c r="CS89" i="5"/>
  <c r="CT89" i="5"/>
  <c r="CU89" i="5"/>
  <c r="AY89" i="5" a="1"/>
  <c r="AY89" i="5" s="1"/>
  <c r="BL89" i="5" a="1"/>
  <c r="BL89" i="5" s="1"/>
  <c r="BF90" i="5" a="1"/>
  <c r="BF90" i="5" s="1"/>
  <c r="BJ89" i="5" a="1"/>
  <c r="BJ89" i="5" s="1"/>
  <c r="BJ90" i="5" s="1" a="1"/>
  <c r="BJ90" i="5" s="1"/>
  <c r="BI89" i="5" a="1"/>
  <c r="BI89" i="5" s="1"/>
  <c r="BI90" i="5" s="1" a="1"/>
  <c r="BI90" i="5" s="1"/>
  <c r="BN89" i="5" a="1"/>
  <c r="BN89" i="5" s="1"/>
  <c r="BE89" i="5" a="1"/>
  <c r="BE89" i="5" s="1"/>
  <c r="BE90" i="5" s="1" a="1"/>
  <c r="BE90" i="5" s="1"/>
  <c r="BB89" i="5" a="1"/>
  <c r="BB89" i="5" s="1"/>
  <c r="BB90" i="5" s="1" a="1"/>
  <c r="BB90"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Q82" i="8"/>
  <c r="CR82" i="8" s="1"/>
  <c r="O82" i="8"/>
  <c r="F92" i="8"/>
  <c r="AO84" i="5"/>
  <c r="AV85" i="5"/>
  <c r="BP88" i="5" a="1"/>
  <c r="BP88" i="5" s="1"/>
  <c r="BT85" i="5"/>
  <c r="AG83" i="7"/>
  <c r="AI83" i="7" s="1"/>
  <c r="O93" i="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Q85" i="1" s="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N91" i="5" s="1"/>
  <c r="P91" i="2"/>
  <c r="M90" i="2"/>
  <c r="O91" i="2"/>
  <c r="AD88" i="1" l="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2" i="8"/>
  <c r="G82" i="1" s="1"/>
  <c r="M82" i="8" s="1"/>
  <c r="O84" i="8"/>
  <c r="CQ83" i="8"/>
  <c r="CR83" i="8" s="1"/>
  <c r="O83" i="8"/>
  <c r="F93" i="8"/>
  <c r="AO85" i="5"/>
  <c r="AV86" i="5"/>
  <c r="BP89" i="5" a="1"/>
  <c r="BP89" i="5" s="1"/>
  <c r="AG85" i="7"/>
  <c r="AI85" i="7" s="1"/>
  <c r="AG84" i="7"/>
  <c r="AI84" i="7" s="1"/>
  <c r="O94" i="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BI91" i="5" s="1" a="1"/>
  <c r="BI91" i="5" s="1"/>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Q86" i="1" s="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AD89" i="1" l="1"/>
  <c r="BH91" i="5" a="1"/>
  <c r="BH91" i="5" s="1"/>
  <c r="CS91" i="5"/>
  <c r="CR91" i="5"/>
  <c r="CQ91" i="5"/>
  <c r="CT91" i="5"/>
  <c r="CV91" i="5"/>
  <c r="CW91" i="5"/>
  <c r="CU91" i="5"/>
  <c r="AY91" i="5" a="1"/>
  <c r="AY91" i="5" s="1"/>
  <c r="BL91" i="5" a="1"/>
  <c r="BL91" i="5" s="1"/>
  <c r="BC91" i="5" a="1"/>
  <c r="BC91" i="5" s="1"/>
  <c r="BC92" i="5" s="1" a="1"/>
  <c r="BC92" i="5" s="1"/>
  <c r="BJ91" i="5" a="1"/>
  <c r="BJ91" i="5" s="1"/>
  <c r="BJ92" i="5" s="1" a="1"/>
  <c r="BJ92" i="5" s="1"/>
  <c r="BD91" i="5" a="1"/>
  <c r="BD91" i="5" s="1"/>
  <c r="BD92" i="5" s="1" a="1"/>
  <c r="BD92" i="5" s="1"/>
  <c r="BQ91" i="5" a="1"/>
  <c r="BQ91" i="5" s="1"/>
  <c r="BQ92" i="5" s="1" a="1"/>
  <c r="BQ92" i="5" s="1"/>
  <c r="AZ91" i="5" a="1"/>
  <c r="AZ91" i="5" s="1"/>
  <c r="BO91" i="5" a="1"/>
  <c r="BO91" i="5" s="1"/>
  <c r="BK91" i="5" a="1"/>
  <c r="BK91" i="5" s="1"/>
  <c r="BA91" i="5" a="1"/>
  <c r="BA91" i="5" s="1"/>
  <c r="BF91" i="5" a="1"/>
  <c r="BF91" i="5" s="1"/>
  <c r="BF92" i="5" s="1" a="1"/>
  <c r="BF92" i="5" s="1"/>
  <c r="BM91" i="5" a="1"/>
  <c r="BM91" i="5" s="1"/>
  <c r="BM92" i="5" s="1" a="1"/>
  <c r="BM92" i="5" s="1"/>
  <c r="BN91" i="5" a="1"/>
  <c r="BN91" i="5" s="1"/>
  <c r="BN92" i="5" s="1" a="1"/>
  <c r="BN92" i="5" s="1"/>
  <c r="BG91" i="5" a="1"/>
  <c r="BG91" i="5" s="1"/>
  <c r="BG92" i="5" s="1" a="1"/>
  <c r="BG92" i="5" s="1"/>
  <c r="BB91" i="5" a="1"/>
  <c r="BB91" i="5" s="1"/>
  <c r="BB92" i="5" s="1" a="1"/>
  <c r="BB92" i="5" s="1"/>
  <c r="BE91" i="5" a="1"/>
  <c r="BE91" i="5" s="1"/>
  <c r="BE92" i="5" s="1" a="1"/>
  <c r="BE92" i="5" s="1"/>
  <c r="V89" i="2"/>
  <c r="CY83" i="8"/>
  <c r="G83" i="1" s="1"/>
  <c r="M83" i="8" s="1"/>
  <c r="CJ85" i="8"/>
  <c r="CN85" i="8" s="1"/>
  <c r="F94" i="8"/>
  <c r="AO86" i="5"/>
  <c r="AV87" i="5"/>
  <c r="BP90" i="5" a="1"/>
  <c r="BP90" i="5" s="1"/>
  <c r="AB87" i="8"/>
  <c r="BM87" i="8" s="1"/>
  <c r="O95" i="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Q87" i="1" s="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N93" i="5" s="1"/>
  <c r="AD90" i="1" l="1"/>
  <c r="CT92" i="5"/>
  <c r="CU92" i="5"/>
  <c r="CW92" i="5"/>
  <c r="CQ92" i="5"/>
  <c r="CV92" i="5"/>
  <c r="CR92" i="5"/>
  <c r="CS92" i="5"/>
  <c r="BL92" i="5" a="1"/>
  <c r="BL92" i="5" s="1"/>
  <c r="AD91" i="1" s="1"/>
  <c r="AY92" i="5" a="1"/>
  <c r="AY92" i="5" s="1"/>
  <c r="BA92" i="5" a="1"/>
  <c r="BA92" i="5" s="1"/>
  <c r="BK92" i="5" a="1"/>
  <c r="BK92" i="5" s="1"/>
  <c r="BH92" i="5" a="1"/>
  <c r="BH92" i="5" s="1"/>
  <c r="BO92" i="5" a="1"/>
  <c r="BO92" i="5" s="1"/>
  <c r="AZ92" i="5" a="1"/>
  <c r="AZ92" i="5" s="1"/>
  <c r="BI92" i="5" a="1"/>
  <c r="BI92" i="5" s="1"/>
  <c r="V90" i="2"/>
  <c r="CL85" i="8"/>
  <c r="O86" i="8"/>
  <c r="CQ85" i="8"/>
  <c r="CR85" i="8" s="1"/>
  <c r="O85" i="8"/>
  <c r="F95" i="8"/>
  <c r="BL87" i="8"/>
  <c r="BK87" i="8"/>
  <c r="N87" i="7"/>
  <c r="BF87" i="8"/>
  <c r="AO87" i="5"/>
  <c r="BI87" i="8"/>
  <c r="AV88" i="5"/>
  <c r="BH87" i="8"/>
  <c r="BG87" i="8"/>
  <c r="BP91" i="5" a="1"/>
  <c r="BP91" i="5" s="1"/>
  <c r="BJ87" i="8"/>
  <c r="AG86" i="7"/>
  <c r="AI86" i="7" s="1"/>
  <c r="AG87" i="7"/>
  <c r="AI87" i="7" s="1"/>
  <c r="O96" i="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BM93" i="5" s="1" a="1"/>
  <c r="BM93" i="5" s="1"/>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Q88" i="1" s="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N94" i="5" s="1"/>
  <c r="M93" i="2"/>
  <c r="O94" i="2"/>
  <c r="P94" i="2"/>
  <c r="BI93" i="5" l="1" a="1"/>
  <c r="BI93" i="5" s="1"/>
  <c r="AZ93" i="5" a="1"/>
  <c r="AZ93" i="5" s="1"/>
  <c r="BF93" i="5" a="1"/>
  <c r="BF93" i="5" s="1"/>
  <c r="CV93" i="5"/>
  <c r="CU93" i="5"/>
  <c r="CR93" i="5"/>
  <c r="CS93" i="5"/>
  <c r="CT93" i="5"/>
  <c r="CW93" i="5"/>
  <c r="CQ93" i="5"/>
  <c r="AY93" i="5" a="1"/>
  <c r="AY93" i="5" s="1"/>
  <c r="BL93" i="5" a="1"/>
  <c r="BL93" i="5" s="1"/>
  <c r="BD93" i="5" a="1"/>
  <c r="BD93" i="5" s="1"/>
  <c r="BN93" i="5" a="1"/>
  <c r="BN93" i="5" s="1"/>
  <c r="BN94" i="5" s="1" a="1"/>
  <c r="BN94"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Y85" i="8"/>
  <c r="G85" i="1" s="1"/>
  <c r="M85" i="8" s="1"/>
  <c r="O87" i="8"/>
  <c r="CJ87" i="8"/>
  <c r="CN87" i="8" s="1"/>
  <c r="F96" i="8"/>
  <c r="AO88" i="5"/>
  <c r="AV89" i="5"/>
  <c r="BP92" i="5" a="1"/>
  <c r="BP92" i="5" s="1"/>
  <c r="O97" i="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Q89" i="1" s="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N95" i="5" s="1"/>
  <c r="P95" i="2"/>
  <c r="O95" i="2"/>
  <c r="AD92" i="1" l="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D93" i="1" s="1"/>
  <c r="AY94" i="5" a="1"/>
  <c r="AY94" i="5" s="1"/>
  <c r="BH94" i="5" a="1"/>
  <c r="BH94" i="5" s="1"/>
  <c r="AZ94" i="5" a="1"/>
  <c r="AZ94" i="5" s="1"/>
  <c r="BG94" i="5" a="1"/>
  <c r="BG94" i="5" s="1"/>
  <c r="BI94" i="5" a="1"/>
  <c r="BI94" i="5" s="1"/>
  <c r="BO94" i="5" a="1"/>
  <c r="BO94" i="5" s="1"/>
  <c r="BM94" i="5" a="1"/>
  <c r="BM94" i="5" s="1"/>
  <c r="V92" i="2"/>
  <c r="CL87" i="8"/>
  <c r="CY87" i="8" s="1"/>
  <c r="G87" i="1" s="1"/>
  <c r="M87" i="8" s="1"/>
  <c r="O88" i="8"/>
  <c r="F97" i="8"/>
  <c r="AO89" i="5"/>
  <c r="AV90" i="5"/>
  <c r="BP93" i="5" a="1"/>
  <c r="BP93" i="5" s="1"/>
  <c r="AG88" i="7"/>
  <c r="AI88" i="7" s="1"/>
  <c r="O98" i="1"/>
  <c r="BS89" i="8"/>
  <c r="BZ89" i="8" s="1"/>
  <c r="BO89" i="8"/>
  <c r="BK89" i="8"/>
  <c r="BL89" i="8"/>
  <c r="BI89" i="8"/>
  <c r="BJ89" i="8"/>
  <c r="AN89" i="5"/>
  <c r="BG89" i="8"/>
  <c r="BH89" i="8"/>
  <c r="BF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Q90" i="1" s="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N96" i="5" s="1"/>
  <c r="P96" i="2"/>
  <c r="M95" i="2"/>
  <c r="BF95" i="5" l="1" a="1"/>
  <c r="BF95" i="5" s="1"/>
  <c r="CV95" i="5"/>
  <c r="CU95" i="5"/>
  <c r="CQ95" i="5"/>
  <c r="CT95" i="5"/>
  <c r="CR95" i="5"/>
  <c r="CS95" i="5"/>
  <c r="CW95" i="5"/>
  <c r="AY95" i="5" a="1"/>
  <c r="AY95" i="5" s="1"/>
  <c r="BL95" i="5" a="1"/>
  <c r="BL95" i="5" s="1"/>
  <c r="BM95" i="5" a="1"/>
  <c r="BM95" i="5" s="1"/>
  <c r="BM96" i="5" s="1" a="1"/>
  <c r="BM96" i="5" s="1"/>
  <c r="BB95" i="5" a="1"/>
  <c r="BB95" i="5" s="1"/>
  <c r="BB96" i="5" s="1" a="1"/>
  <c r="BB96" i="5" s="1"/>
  <c r="BO95" i="5" a="1"/>
  <c r="BO95" i="5" s="1"/>
  <c r="BO96" i="5" s="1" a="1"/>
  <c r="BO96" i="5" s="1"/>
  <c r="BK95" i="5" a="1"/>
  <c r="BK95" i="5" s="1"/>
  <c r="BK96" i="5" s="1" a="1"/>
  <c r="BK96" i="5" s="1"/>
  <c r="BI95" i="5" a="1"/>
  <c r="BI95" i="5" s="1"/>
  <c r="BI96" i="5" s="1" a="1"/>
  <c r="BI96" i="5" s="1"/>
  <c r="BD95" i="5" a="1"/>
  <c r="BD95" i="5" s="1"/>
  <c r="BG95" i="5" a="1"/>
  <c r="BG95" i="5" s="1"/>
  <c r="BE95" i="5" a="1"/>
  <c r="BE95" i="5" s="1"/>
  <c r="AZ95" i="5" a="1"/>
  <c r="AZ95" i="5" s="1"/>
  <c r="BA95" i="5" a="1"/>
  <c r="BA95" i="5" s="1"/>
  <c r="BH95" i="5" a="1"/>
  <c r="BH95" i="5" s="1"/>
  <c r="BC95" i="5" a="1"/>
  <c r="BC95" i="5" s="1"/>
  <c r="BC96" i="5" s="1" a="1"/>
  <c r="BC96" i="5" s="1"/>
  <c r="BJ95" i="5" a="1"/>
  <c r="BJ95" i="5" s="1"/>
  <c r="BQ95" i="5" a="1"/>
  <c r="BQ95" i="5" s="1"/>
  <c r="BQ96" i="5" s="1" a="1"/>
  <c r="BQ96" i="5" s="1"/>
  <c r="BN95" i="5" a="1"/>
  <c r="BN95" i="5" s="1"/>
  <c r="BN96" i="5" s="1" a="1"/>
  <c r="BN96" i="5" s="1"/>
  <c r="V93" i="2"/>
  <c r="F98" i="8"/>
  <c r="AO90" i="5"/>
  <c r="AV91" i="5"/>
  <c r="BP94" i="5" a="1"/>
  <c r="BP94" i="5" s="1"/>
  <c r="AG89" i="7"/>
  <c r="AI89" i="7" s="1"/>
  <c r="O99" i="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Q91" i="1" s="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N97" i="5" s="1"/>
  <c r="M96" i="2"/>
  <c r="O97" i="2"/>
  <c r="AD94" i="1" l="1"/>
  <c r="BJ96" i="5" a="1"/>
  <c r="BJ96" i="5" s="1"/>
  <c r="BH96" i="5" a="1"/>
  <c r="BH96" i="5" s="1"/>
  <c r="BA96" i="5" a="1"/>
  <c r="BA96" i="5" s="1"/>
  <c r="AZ96" i="5" a="1"/>
  <c r="AZ96" i="5" s="1"/>
  <c r="AZ97" i="5" s="1" a="1"/>
  <c r="AZ97" i="5" s="1"/>
  <c r="BE96" i="5" a="1"/>
  <c r="BE96" i="5" s="1"/>
  <c r="BE97" i="5" s="1" a="1"/>
  <c r="BE97" i="5" s="1"/>
  <c r="BG96" i="5" a="1"/>
  <c r="BG96" i="5" s="1"/>
  <c r="BG97" i="5" s="1" a="1"/>
  <c r="BG97" i="5" s="1"/>
  <c r="BF96" i="5" a="1"/>
  <c r="BF96" i="5" s="1"/>
  <c r="BF97" i="5" s="1" a="1"/>
  <c r="BF97" i="5" s="1"/>
  <c r="CV96" i="5"/>
  <c r="CT96" i="5"/>
  <c r="CS96" i="5"/>
  <c r="CR96" i="5"/>
  <c r="CU96" i="5"/>
  <c r="CQ96" i="5"/>
  <c r="CW96" i="5"/>
  <c r="AY96" i="5" a="1"/>
  <c r="AY96" i="5" s="1"/>
  <c r="BL96" i="5" a="1"/>
  <c r="BL96" i="5" s="1"/>
  <c r="AD95" i="1" s="1"/>
  <c r="BD96" i="5" a="1"/>
  <c r="BD96" i="5" s="1"/>
  <c r="BD97" i="5" s="1" a="1"/>
  <c r="BD97" i="5" s="1"/>
  <c r="V94" i="2"/>
  <c r="CQ89" i="8"/>
  <c r="CR89" i="8" s="1"/>
  <c r="O89" i="8"/>
  <c r="F99" i="8"/>
  <c r="AO91" i="5"/>
  <c r="AV92" i="5"/>
  <c r="BP95" i="5" a="1"/>
  <c r="BP95" i="5" s="1"/>
  <c r="AG91" i="7"/>
  <c r="AI91" i="7" s="1"/>
  <c r="AG90" i="7"/>
  <c r="AI90" i="7" s="1"/>
  <c r="O100" i="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CA97" i="14" s="1"/>
  <c r="A97" i="8"/>
  <c r="A97" i="2"/>
  <c r="A97" i="5"/>
  <c r="BM97" i="5" s="1" a="1"/>
  <c r="BM97" i="5" s="1"/>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Q92" i="1" s="1"/>
  <c r="J93" i="2"/>
  <c r="CK90" i="8"/>
  <c r="B90" i="14"/>
  <c r="CZ94" i="5"/>
  <c r="AQ90" i="5"/>
  <c r="AB94" i="1"/>
  <c r="DI94" i="5"/>
  <c r="C94" i="5"/>
  <c r="AC93" i="1"/>
  <c r="DA93" i="5"/>
  <c r="DG93" i="5" s="1" a="1"/>
  <c r="DG93" i="5" s="1"/>
  <c r="AF103" i="9"/>
  <c r="AJ103" i="9"/>
  <c r="N79" i="1"/>
  <c r="S96" i="2"/>
  <c r="N97" i="2"/>
  <c r="R97" i="2"/>
  <c r="Q96" i="2"/>
  <c r="O98" i="2"/>
  <c r="M97" i="2"/>
  <c r="J98" i="10"/>
  <c r="N98" i="5" s="1"/>
  <c r="P98" i="2"/>
  <c r="BA97" i="5" l="1"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CY89" i="8"/>
  <c r="G89" i="1" s="1"/>
  <c r="M89" i="8" s="1"/>
  <c r="V95" i="2"/>
  <c r="O91" i="8"/>
  <c r="CQ90" i="8"/>
  <c r="CR90" i="8" s="1"/>
  <c r="O90" i="8"/>
  <c r="CJ91" i="8"/>
  <c r="CN91" i="8" s="1"/>
  <c r="F100" i="8"/>
  <c r="AO92" i="5"/>
  <c r="AV93" i="5"/>
  <c r="BP96" i="5" a="1"/>
  <c r="BP96" i="5" s="1"/>
  <c r="O101" i="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CA98" i="14" s="1"/>
  <c r="A98" i="8"/>
  <c r="A98" i="9"/>
  <c r="A98" i="5"/>
  <c r="BF98" i="5" s="1" a="1"/>
  <c r="BF98" i="5" s="1"/>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Q93" i="1" s="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N99" i="5" s="1"/>
  <c r="P99" i="2"/>
  <c r="O99" i="2"/>
  <c r="AD96" i="1" l="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BE99" i="5" s="1" a="1"/>
  <c r="BE99" i="5" s="1"/>
  <c r="AZ98" i="5" a="1"/>
  <c r="AZ98" i="5" s="1"/>
  <c r="AZ99" i="5" s="1" a="1"/>
  <c r="AZ99" i="5" s="1"/>
  <c r="BG98" i="5" a="1"/>
  <c r="BG98" i="5" s="1"/>
  <c r="BG99" i="5" s="1" a="1"/>
  <c r="BG99" i="5" s="1"/>
  <c r="BM98" i="5" a="1"/>
  <c r="BM98" i="5" s="1"/>
  <c r="BM99" i="5" s="1" a="1"/>
  <c r="BM99" i="5" s="1"/>
  <c r="V96" i="2"/>
  <c r="CL91" i="8"/>
  <c r="CY91" i="8" s="1"/>
  <c r="G91" i="1" s="1"/>
  <c r="M91" i="8" s="1"/>
  <c r="CY90" i="8"/>
  <c r="G90" i="1" s="1"/>
  <c r="M90" i="8" s="1"/>
  <c r="F101" i="8"/>
  <c r="AO93" i="5"/>
  <c r="AV94" i="5"/>
  <c r="BP97" i="5" a="1"/>
  <c r="BP97" i="5" s="1"/>
  <c r="B94" i="7"/>
  <c r="AE94" i="7" s="1"/>
  <c r="AF94" i="7" s="1"/>
  <c r="AG93" i="7"/>
  <c r="AI93" i="7" s="1"/>
  <c r="AG92" i="7"/>
  <c r="AI92" i="7" s="1"/>
  <c r="O102" i="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Q94" i="1" s="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AD97" i="1" l="1"/>
  <c r="BO99" i="5" a="1"/>
  <c r="BO99" i="5" s="1"/>
  <c r="BC99" i="5" a="1"/>
  <c r="BC99" i="5" s="1"/>
  <c r="CT99" i="5"/>
  <c r="CS99" i="5"/>
  <c r="CU99" i="5"/>
  <c r="CQ99" i="5"/>
  <c r="CR99" i="5"/>
  <c r="CV99" i="5"/>
  <c r="CW99" i="5"/>
  <c r="BL99" i="5" a="1"/>
  <c r="BL99" i="5" s="1"/>
  <c r="AY99" i="5" a="1"/>
  <c r="AY99" i="5" s="1"/>
  <c r="BJ99" i="5" a="1"/>
  <c r="BJ99" i="5" s="1"/>
  <c r="BJ100" i="5" s="1" a="1"/>
  <c r="BJ100"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Q92" i="8"/>
  <c r="CR92" i="8" s="1"/>
  <c r="O92" i="8"/>
  <c r="CJ93" i="8"/>
  <c r="CN93" i="8" s="1"/>
  <c r="F102" i="8"/>
  <c r="AO94" i="5"/>
  <c r="AV95" i="5"/>
  <c r="BP98" i="5" a="1"/>
  <c r="BP98" i="5" s="1"/>
  <c r="AG94" i="7"/>
  <c r="AI94" i="7" s="1"/>
  <c r="O103" i="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Q95" i="1" s="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AD98" i="1" l="1"/>
  <c r="BF100" i="5" a="1"/>
  <c r="BF100" i="5" s="1"/>
  <c r="CS100" i="5"/>
  <c r="CT100" i="5"/>
  <c r="CR100" i="5"/>
  <c r="CV100" i="5"/>
  <c r="CW100" i="5"/>
  <c r="CQ100" i="5"/>
  <c r="CU100" i="5"/>
  <c r="AY100" i="5" a="1"/>
  <c r="AY100" i="5" s="1"/>
  <c r="BL100" i="5" a="1"/>
  <c r="BL100" i="5" s="1"/>
  <c r="BI100" i="5" a="1"/>
  <c r="BI100" i="5" s="1"/>
  <c r="BI101" i="5" s="1" a="1"/>
  <c r="BI101" i="5" s="1"/>
  <c r="BB100" i="5" a="1"/>
  <c r="BB100" i="5" s="1"/>
  <c r="BN100" i="5" a="1"/>
  <c r="BN100" i="5" s="1"/>
  <c r="BN101" i="5" s="1" a="1"/>
  <c r="BN101" i="5" s="1"/>
  <c r="BC100" i="5" a="1"/>
  <c r="BC100" i="5" s="1"/>
  <c r="BC101" i="5" s="1" a="1"/>
  <c r="BC101" i="5" s="1"/>
  <c r="BH100" i="5" a="1"/>
  <c r="BH100" i="5" s="1"/>
  <c r="BE100" i="5" a="1"/>
  <c r="BE100" i="5" s="1"/>
  <c r="BE101" i="5" s="1" a="1"/>
  <c r="BE101" i="5" s="1"/>
  <c r="BQ100" i="5" a="1"/>
  <c r="BQ100" i="5" s="1"/>
  <c r="BO100" i="5" a="1"/>
  <c r="BO100" i="5" s="1"/>
  <c r="BD100" i="5" a="1"/>
  <c r="BD100" i="5" s="1"/>
  <c r="AZ100" i="5" a="1"/>
  <c r="AZ100" i="5" s="1"/>
  <c r="BK100" i="5" a="1"/>
  <c r="BK100" i="5" s="1"/>
  <c r="BG100" i="5" a="1"/>
  <c r="BG100" i="5" s="1"/>
  <c r="BA100" i="5" a="1"/>
  <c r="BA100" i="5" s="1"/>
  <c r="BM100" i="5" a="1"/>
  <c r="BM100" i="5" s="1"/>
  <c r="V98" i="2"/>
  <c r="CY92" i="8"/>
  <c r="G92" i="1" s="1"/>
  <c r="M92" i="8" s="1"/>
  <c r="CL93" i="8"/>
  <c r="CQ93" i="8"/>
  <c r="CR93" i="8" s="1"/>
  <c r="O93" i="8"/>
  <c r="F103" i="8"/>
  <c r="CJ94" i="8"/>
  <c r="CN94" i="8" s="1"/>
  <c r="AO95" i="5"/>
  <c r="AV96" i="5"/>
  <c r="BP99" i="5" a="1"/>
  <c r="BP99" i="5" s="1"/>
  <c r="AJ96" i="5"/>
  <c r="AP96" i="5" s="1"/>
  <c r="O104" i="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Q96" i="1" s="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AD99" i="1" l="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AD100" i="1" s="1"/>
  <c r="BO101" i="5" a="1"/>
  <c r="BO101" i="5" s="1"/>
  <c r="BQ101" i="5" a="1"/>
  <c r="BQ101" i="5" s="1"/>
  <c r="BF101" i="5" a="1"/>
  <c r="BF101" i="5" s="1"/>
  <c r="BH101" i="5" a="1"/>
  <c r="BH101" i="5" s="1"/>
  <c r="BJ101" i="5" a="1"/>
  <c r="BJ101" i="5" s="1"/>
  <c r="BJ102" i="5" s="1" a="1"/>
  <c r="BJ102" i="5" s="1"/>
  <c r="V99" i="2"/>
  <c r="CY93" i="8"/>
  <c r="G93" i="1" s="1"/>
  <c r="M93" i="8" s="1"/>
  <c r="CL94" i="8"/>
  <c r="O95" i="8"/>
  <c r="F104" i="8"/>
  <c r="AV97" i="5"/>
  <c r="AC96" i="10"/>
  <c r="X96" i="10" s="1"/>
  <c r="AO96" i="5"/>
  <c r="BP100" i="5" a="1"/>
  <c r="BP100" i="5" s="1"/>
  <c r="AG95" i="7"/>
  <c r="AI95" i="7" s="1"/>
  <c r="O105" i="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CA102" i="14" s="1"/>
  <c r="A102" i="5"/>
  <c r="BC102" i="5" s="1" a="1"/>
  <c r="BC102" i="5" s="1"/>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Q97" i="1" s="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BD102" i="5" l="1"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O103" i="5" s="1" a="1"/>
  <c r="BO103" i="5" s="1"/>
  <c r="BM102" i="5" a="1"/>
  <c r="BM102" i="5" s="1"/>
  <c r="CV102" i="5"/>
  <c r="CW102" i="5"/>
  <c r="CT102" i="5"/>
  <c r="CR102" i="5"/>
  <c r="CQ102" i="5"/>
  <c r="CS102" i="5"/>
  <c r="CU102" i="5"/>
  <c r="AY102" i="5" a="1"/>
  <c r="AY102" i="5" s="1"/>
  <c r="BL102" i="5" a="1"/>
  <c r="BL102" i="5" s="1"/>
  <c r="BI102" i="5" a="1"/>
  <c r="BI102" i="5" s="1"/>
  <c r="BB102" i="5" a="1"/>
  <c r="BB102" i="5" s="1"/>
  <c r="BN102" i="5" a="1"/>
  <c r="BN102" i="5" s="1"/>
  <c r="CY94" i="8"/>
  <c r="G94" i="1" s="1"/>
  <c r="M94" i="8" s="1"/>
  <c r="V100" i="2"/>
  <c r="AQ96" i="5"/>
  <c r="O96" i="8"/>
  <c r="CJ96" i="8"/>
  <c r="CN96" i="8" s="1"/>
  <c r="F105" i="8"/>
  <c r="AO97" i="5"/>
  <c r="AV98" i="5"/>
  <c r="BP101" i="5" a="1"/>
  <c r="BP101" i="5" s="1"/>
  <c r="AG97" i="7"/>
  <c r="AI97" i="7" s="1"/>
  <c r="AG96" i="7"/>
  <c r="AI96" i="7" s="1"/>
  <c r="O106" i="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CA103" i="14" s="1"/>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Q98" i="1" s="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AD101" i="1" l="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L96" i="8"/>
  <c r="CY96" i="8" s="1"/>
  <c r="G96" i="1" s="1"/>
  <c r="M96" i="8" s="1"/>
  <c r="CJ97" i="8"/>
  <c r="CN97" i="8" s="1"/>
  <c r="F106" i="8"/>
  <c r="AV99" i="5"/>
  <c r="AO98" i="5"/>
  <c r="BP102" i="5" a="1"/>
  <c r="BP102" i="5" s="1"/>
  <c r="O107" i="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CA104" i="14" s="1"/>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Q99" i="1" s="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D102" i="1" l="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I105" i="5" s="1" a="1"/>
  <c r="BI105" i="5" s="1"/>
  <c r="BO104" i="5" a="1"/>
  <c r="BO104" i="5" s="1"/>
  <c r="BO105" i="5" s="1" a="1"/>
  <c r="BO105"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L97" i="8"/>
  <c r="CQ97" i="8"/>
  <c r="CR97" i="8" s="1"/>
  <c r="O97" i="8"/>
  <c r="CJ98" i="8"/>
  <c r="CN98" i="8" s="1"/>
  <c r="F107" i="8"/>
  <c r="AO99" i="5"/>
  <c r="AV100" i="5"/>
  <c r="BP103" i="5" a="1"/>
  <c r="BP103" i="5" s="1"/>
  <c r="DA100" i="8"/>
  <c r="DB100" i="8" s="1"/>
  <c r="AG98" i="7"/>
  <c r="AI98" i="7" s="1"/>
  <c r="O108" i="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CA105" i="14" s="1"/>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Q100" i="1" s="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AD103" i="1" l="1"/>
  <c r="BD105" i="5" a="1"/>
  <c r="BD105" i="5" s="1"/>
  <c r="CQ105" i="5"/>
  <c r="CW105" i="5"/>
  <c r="CR105" i="5"/>
  <c r="CV105" i="5"/>
  <c r="CT105" i="5"/>
  <c r="CU105" i="5"/>
  <c r="CS105" i="5"/>
  <c r="AY105" i="5" a="1"/>
  <c r="AY105" i="5" s="1"/>
  <c r="BL105" i="5" a="1"/>
  <c r="BL105" i="5" s="1"/>
  <c r="BE105" i="5" a="1"/>
  <c r="BE105" i="5" s="1"/>
  <c r="BK105" i="5" a="1"/>
  <c r="BK105" i="5" s="1"/>
  <c r="BC105" i="5" a="1"/>
  <c r="BC105" i="5" s="1"/>
  <c r="BC106" i="5" s="1" a="1"/>
  <c r="BC106" i="5" s="1"/>
  <c r="BM105" i="5" a="1"/>
  <c r="BM105" i="5" s="1"/>
  <c r="BM106" i="5" s="1" a="1"/>
  <c r="BM106"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L98" i="8"/>
  <c r="CY97" i="8"/>
  <c r="G97" i="1" s="1"/>
  <c r="M97" i="8" s="1"/>
  <c r="V103" i="2"/>
  <c r="CD100" i="8"/>
  <c r="CT100" i="8" s="1"/>
  <c r="CU100" i="8" s="1"/>
  <c r="CQ98" i="8"/>
  <c r="CR98" i="8" s="1"/>
  <c r="O98" i="8"/>
  <c r="F108" i="8"/>
  <c r="AO100" i="5"/>
  <c r="AV101" i="5"/>
  <c r="BP104" i="5" a="1"/>
  <c r="BP104" i="5" s="1"/>
  <c r="AG100" i="7"/>
  <c r="AI100" i="7" s="1"/>
  <c r="AG99" i="7"/>
  <c r="AI99" i="7" s="1"/>
  <c r="O109" i="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Q101" i="1" s="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N107" i="5" s="1"/>
  <c r="O107" i="2"/>
  <c r="CY98" i="8" l="1"/>
  <c r="G98" i="1" s="1"/>
  <c r="M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M107" i="5" a="1"/>
  <c r="BM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BI107" i="5" s="1" a="1"/>
  <c r="BI107" i="5" s="1"/>
  <c r="V104" i="2"/>
  <c r="CQ99" i="8"/>
  <c r="CR99" i="8" s="1"/>
  <c r="O99" i="8"/>
  <c r="F109" i="8"/>
  <c r="CJ100" i="8"/>
  <c r="CN100" i="8" s="1"/>
  <c r="AO101" i="5"/>
  <c r="AV102" i="5"/>
  <c r="BP105" i="5" a="1"/>
  <c r="BP105" i="5" s="1"/>
  <c r="O110" i="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CA107" i="14" s="1"/>
  <c r="A107" i="7"/>
  <c r="R107" i="7" s="1"/>
  <c r="A107" i="8"/>
  <c r="A107" i="9"/>
  <c r="A107" i="5"/>
  <c r="BC107" i="5" s="1" a="1"/>
  <c r="BC107" i="5" s="1"/>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Q102" i="1" s="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AD105" i="1" l="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L100" i="8"/>
  <c r="CY99" i="8"/>
  <c r="G99" i="1" s="1"/>
  <c r="M99" i="8" s="1"/>
  <c r="O101" i="8"/>
  <c r="CQ100" i="8"/>
  <c r="CR100" i="8" s="1"/>
  <c r="O100" i="8"/>
  <c r="F110" i="8"/>
  <c r="AO102" i="5"/>
  <c r="AV103" i="5"/>
  <c r="BP106" i="5" a="1"/>
  <c r="BP106" i="5" s="1"/>
  <c r="AG101" i="7"/>
  <c r="AI101" i="7" s="1"/>
  <c r="AG102" i="7"/>
  <c r="AI102" i="7" s="1"/>
  <c r="O111" i="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Q103" i="1" s="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D106" i="1" l="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BD109" i="5" s="1" a="1"/>
  <c r="BD109" i="5" s="1"/>
  <c r="AZ108" i="5" a="1"/>
  <c r="AZ108" i="5" s="1"/>
  <c r="BM108" i="5" a="1"/>
  <c r="BM108" i="5" s="1"/>
  <c r="BM109" i="5" s="1" a="1"/>
  <c r="BM109" i="5" s="1"/>
  <c r="BA108" i="5" a="1"/>
  <c r="BA108" i="5" s="1"/>
  <c r="BA109" i="5" s="1" a="1"/>
  <c r="BA109"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BC109" i="5" s="1" a="1"/>
  <c r="BC109" i="5" s="1"/>
  <c r="CY100" i="8"/>
  <c r="G100" i="1" s="1"/>
  <c r="M100" i="8" s="1"/>
  <c r="V106" i="2"/>
  <c r="CJ102" i="8"/>
  <c r="CN102" i="8" s="1"/>
  <c r="F111" i="8"/>
  <c r="AO103" i="5"/>
  <c r="AV104" i="5"/>
  <c r="BP107" i="5" a="1"/>
  <c r="BP107" i="5" s="1"/>
  <c r="DA104" i="8"/>
  <c r="DB104" i="8" s="1"/>
  <c r="O112" i="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Q104" i="1" s="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N110" i="5" s="1"/>
  <c r="AD107" i="1" l="1"/>
  <c r="AZ109" i="5" a="1"/>
  <c r="AZ109" i="5" s="1"/>
  <c r="BB109" i="5" a="1"/>
  <c r="BB109" i="5" s="1"/>
  <c r="BQ109" i="5" a="1"/>
  <c r="BQ109" i="5" s="1"/>
  <c r="BE109" i="5" a="1"/>
  <c r="BE109" i="5" s="1"/>
  <c r="BE110" i="5" s="1" a="1"/>
  <c r="BE110" i="5" s="1"/>
  <c r="CV109" i="5"/>
  <c r="CU109" i="5"/>
  <c r="CS109" i="5"/>
  <c r="CW109" i="5"/>
  <c r="CT109" i="5"/>
  <c r="CR109" i="5"/>
  <c r="CQ109" i="5"/>
  <c r="AY109" i="5" a="1"/>
  <c r="AY109" i="5" s="1"/>
  <c r="BL109" i="5" a="1"/>
  <c r="BL109" i="5" s="1"/>
  <c r="BK109" i="5" a="1"/>
  <c r="BK109" i="5" s="1"/>
  <c r="BK110" i="5" s="1" a="1"/>
  <c r="BK110" i="5" s="1"/>
  <c r="BG109" i="5" a="1"/>
  <c r="BG109" i="5" s="1"/>
  <c r="BG110" i="5" s="1" a="1"/>
  <c r="BG110" i="5" s="1"/>
  <c r="BN109" i="5" a="1"/>
  <c r="BN109" i="5" s="1"/>
  <c r="BI109" i="5" a="1"/>
  <c r="BI109" i="5" s="1"/>
  <c r="BI110" i="5" s="1" a="1"/>
  <c r="BI110" i="5" s="1"/>
  <c r="BC110" i="5" a="1"/>
  <c r="BC110" i="5" s="1"/>
  <c r="BF109" i="5" a="1"/>
  <c r="BF109" i="5" s="1"/>
  <c r="BF110" i="5" s="1" a="1"/>
  <c r="BF110" i="5" s="1"/>
  <c r="BH110" i="5" a="1"/>
  <c r="BH110" i="5" s="1"/>
  <c r="BO109" i="5" a="1"/>
  <c r="BO109" i="5" s="1"/>
  <c r="BO110" i="5" s="1" a="1"/>
  <c r="BO110" i="5" s="1"/>
  <c r="V107" i="2"/>
  <c r="CD104" i="8"/>
  <c r="CT104" i="8" s="1"/>
  <c r="CL102" i="8"/>
  <c r="O103" i="8"/>
  <c r="CQ102" i="8"/>
  <c r="CR102" i="8" s="1"/>
  <c r="O102" i="8"/>
  <c r="F112" i="8"/>
  <c r="AO104" i="5"/>
  <c r="AV105" i="5"/>
  <c r="BP108" i="5" a="1"/>
  <c r="BP108" i="5" s="1"/>
  <c r="AG103" i="7"/>
  <c r="AI103" i="7" s="1"/>
  <c r="O113" i="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CA110" i="14" s="1"/>
  <c r="A110" i="5"/>
  <c r="BJ110" i="5" s="1" a="1"/>
  <c r="BJ110" i="5" s="1"/>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Q105" i="1" s="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N111" i="5" s="1"/>
  <c r="M110" i="2"/>
  <c r="AD108" i="1" l="1"/>
  <c r="BN110" i="5" a="1"/>
  <c r="BN110" i="5" s="1"/>
  <c r="BQ110" i="5" a="1"/>
  <c r="BQ110" i="5" s="1"/>
  <c r="BA110" i="5" a="1"/>
  <c r="BA110" i="5" s="1"/>
  <c r="BA111" i="5" s="1" a="1"/>
  <c r="BA111" i="5" s="1"/>
  <c r="BD110" i="5" a="1"/>
  <c r="BD110" i="5" s="1"/>
  <c r="BB110" i="5" a="1"/>
  <c r="BB110" i="5" s="1"/>
  <c r="BB111" i="5" s="1" a="1"/>
  <c r="BB111" i="5" s="1"/>
  <c r="CU110" i="5"/>
  <c r="CV110" i="5"/>
  <c r="CT110" i="5"/>
  <c r="CQ110" i="5"/>
  <c r="CS110" i="5"/>
  <c r="CR110" i="5"/>
  <c r="CW110" i="5"/>
  <c r="AY110" i="5" a="1"/>
  <c r="AY110" i="5" s="1"/>
  <c r="BL110" i="5" a="1"/>
  <c r="BL110" i="5" s="1"/>
  <c r="BM110" i="5" a="1"/>
  <c r="BM110" i="5" s="1"/>
  <c r="AZ110" i="5" a="1"/>
  <c r="AZ110" i="5" s="1"/>
  <c r="CU104" i="8"/>
  <c r="V108" i="2"/>
  <c r="CY102" i="8"/>
  <c r="G102" i="1" s="1"/>
  <c r="M102" i="8" s="1"/>
  <c r="O104" i="8"/>
  <c r="F113" i="8"/>
  <c r="CJ105" i="8"/>
  <c r="CN105" i="8" s="1"/>
  <c r="CJ104" i="8"/>
  <c r="CN104" i="8" s="1"/>
  <c r="AO105" i="5"/>
  <c r="AV106" i="5"/>
  <c r="BP109" i="5" a="1"/>
  <c r="BP109" i="5" s="1"/>
  <c r="A106" i="10"/>
  <c r="AA106" i="10" s="1"/>
  <c r="AG105" i="7"/>
  <c r="AI105" i="7" s="1"/>
  <c r="AG104" i="7"/>
  <c r="AI104" i="7" s="1"/>
  <c r="O114" i="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CA111" i="14" s="1"/>
  <c r="A111" i="5"/>
  <c r="BK111" i="5" s="1" a="1"/>
  <c r="BK111" i="5" s="1"/>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Q106" i="1" s="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N112" i="5" s="1"/>
  <c r="P112" i="2"/>
  <c r="M111" i="2"/>
  <c r="O112" i="2"/>
  <c r="AD109" i="1" l="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L104" i="8"/>
  <c r="CY104" i="8" s="1"/>
  <c r="G104" i="1" s="1"/>
  <c r="M104" i="8" s="1"/>
  <c r="O105" i="8"/>
  <c r="F114" i="8"/>
  <c r="AO106" i="5"/>
  <c r="AV107" i="5"/>
  <c r="BP110" i="5" a="1"/>
  <c r="BP110" i="5" s="1"/>
  <c r="BE107" i="8"/>
  <c r="BN107" i="8" s="1"/>
  <c r="AG106" i="7"/>
  <c r="AI106" i="7" s="1"/>
  <c r="O115" i="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Q107" i="1" s="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N113" i="5" s="1"/>
  <c r="AD110" i="1" l="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J106" i="8"/>
  <c r="CN106" i="8" s="1"/>
  <c r="F115" i="8"/>
  <c r="AO107" i="5"/>
  <c r="AV108" i="5"/>
  <c r="BP111" i="5" a="1"/>
  <c r="BP111" i="5" s="1"/>
  <c r="AG107" i="7"/>
  <c r="AI107" i="7" s="1"/>
  <c r="O116" i="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Q108" i="1" s="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D111" i="1" l="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L106" i="8"/>
  <c r="V111" i="2"/>
  <c r="O107" i="8"/>
  <c r="CQ106" i="8"/>
  <c r="CR106" i="8" s="1"/>
  <c r="O106" i="8"/>
  <c r="CJ107" i="8"/>
  <c r="CN107" i="8" s="1"/>
  <c r="F116" i="8"/>
  <c r="AO108" i="5"/>
  <c r="AV109" i="5"/>
  <c r="BP112" i="5" a="1"/>
  <c r="BP112" i="5" s="1"/>
  <c r="AG108" i="7"/>
  <c r="AI108" i="7" s="1"/>
  <c r="O117" i="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Q109" i="1" s="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D112" i="1" l="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CY106" i="8"/>
  <c r="G106" i="1" s="1"/>
  <c r="M106" i="8" s="1"/>
  <c r="V112" i="2"/>
  <c r="CL107" i="8"/>
  <c r="CY107" i="8" s="1"/>
  <c r="G107" i="1" s="1"/>
  <c r="M107" i="8" s="1"/>
  <c r="O108" i="8"/>
  <c r="CJ108" i="8"/>
  <c r="CN108" i="8" s="1"/>
  <c r="F117" i="8"/>
  <c r="AO109" i="5"/>
  <c r="AV110" i="5"/>
  <c r="BP113" i="5" a="1"/>
  <c r="BP113" i="5" s="1"/>
  <c r="O118" i="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Q110" i="1" s="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N116" i="5" s="1"/>
  <c r="M115" i="2"/>
  <c r="O116" i="2"/>
  <c r="AD113" i="1" l="1"/>
  <c r="BK115" i="5" a="1"/>
  <c r="BK115" i="5" s="1"/>
  <c r="BQ115" i="5" a="1"/>
  <c r="BQ115" i="5" s="1"/>
  <c r="BA115" i="5" a="1"/>
  <c r="BA115" i="5" s="1"/>
  <c r="BG115" i="5" a="1"/>
  <c r="BG115" i="5" s="1"/>
  <c r="BM115" i="5" a="1"/>
  <c r="BM115" i="5" s="1"/>
  <c r="BF115" i="5" a="1"/>
  <c r="BF115" i="5" s="1"/>
  <c r="BF116" i="5" s="1" a="1"/>
  <c r="BF116"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L108" i="8"/>
  <c r="CY108" i="8" s="1"/>
  <c r="G108" i="1" s="1"/>
  <c r="M108" i="8" s="1"/>
  <c r="O109" i="8"/>
  <c r="F118" i="8"/>
  <c r="AO110" i="5"/>
  <c r="AV111" i="5"/>
  <c r="BP114" i="5" a="1"/>
  <c r="BP114" i="5" s="1"/>
  <c r="AG109" i="7"/>
  <c r="AI109" i="7" s="1"/>
  <c r="O119" i="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Q111" i="1" s="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N117" i="5" s="1"/>
  <c r="O117" i="2"/>
  <c r="M116" i="2"/>
  <c r="AD114" i="1" l="1"/>
  <c r="CS116" i="5"/>
  <c r="CT116" i="5"/>
  <c r="CR116" i="5"/>
  <c r="CQ116" i="5"/>
  <c r="CU116" i="5"/>
  <c r="CW116" i="5"/>
  <c r="CV116" i="5"/>
  <c r="AY116" i="5" a="1"/>
  <c r="AY116" i="5" s="1"/>
  <c r="BL116" i="5" a="1"/>
  <c r="BL116" i="5" s="1"/>
  <c r="BC116" i="5" a="1"/>
  <c r="BC116" i="5" s="1"/>
  <c r="AZ116" i="5" a="1"/>
  <c r="AZ116" i="5" s="1"/>
  <c r="BJ116" i="5" a="1"/>
  <c r="BJ116" i="5" s="1"/>
  <c r="BJ117" i="5" s="1" a="1"/>
  <c r="BJ117" i="5" s="1"/>
  <c r="BH116" i="5" a="1"/>
  <c r="BH116" i="5" s="1"/>
  <c r="BH117" i="5" s="1" a="1"/>
  <c r="BH117" i="5" s="1"/>
  <c r="BE116" i="5" a="1"/>
  <c r="BE116" i="5" s="1"/>
  <c r="BI116" i="5" a="1"/>
  <c r="BI116" i="5" s="1"/>
  <c r="BI117" i="5" s="1" a="1"/>
  <c r="BI117" i="5" s="1"/>
  <c r="BO116" i="5" a="1"/>
  <c r="BO116" i="5" s="1"/>
  <c r="BO117" i="5" s="1" a="1"/>
  <c r="BO117" i="5" s="1"/>
  <c r="BN116" i="5" a="1"/>
  <c r="BN116" i="5" s="1"/>
  <c r="BB116" i="5" a="1"/>
  <c r="BB116" i="5" s="1"/>
  <c r="BB117" i="5" s="1" a="1"/>
  <c r="BB117"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CA117" i="14" s="1"/>
  <c r="A117" i="9"/>
  <c r="A117" i="8"/>
  <c r="A117" i="2"/>
  <c r="A117" i="5"/>
  <c r="A117" i="7"/>
  <c r="R117" i="7" s="1"/>
  <c r="AI112" i="5"/>
  <c r="BT112" i="5"/>
  <c r="BE112" i="8"/>
  <c r="BN112" i="8" s="1"/>
  <c r="CL109" i="8"/>
  <c r="CY109" i="8" s="1"/>
  <c r="G109" i="1" s="1"/>
  <c r="M109" i="8" s="1"/>
  <c r="E112" i="1"/>
  <c r="Q112" i="1" s="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B114" i="1"/>
  <c r="DI114" i="5"/>
  <c r="AC113" i="1"/>
  <c r="DA113" i="5"/>
  <c r="DG113" i="5" s="1" a="1"/>
  <c r="DG113" i="5" s="1"/>
  <c r="AF123" i="9"/>
  <c r="AJ123" i="9"/>
  <c r="N99" i="1"/>
  <c r="S116" i="2"/>
  <c r="N117" i="2"/>
  <c r="R117" i="2"/>
  <c r="Q116" i="2"/>
  <c r="J118" i="10"/>
  <c r="N118" i="5" s="1"/>
  <c r="M117" i="2"/>
  <c r="P118" i="2"/>
  <c r="O118" i="2"/>
  <c r="AD115" i="1" l="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O111" i="8"/>
  <c r="CQ110" i="8"/>
  <c r="CR110" i="8" s="1"/>
  <c r="O110" i="8"/>
  <c r="F120" i="8"/>
  <c r="AO112" i="5"/>
  <c r="AV113" i="5"/>
  <c r="BP116" i="5" a="1"/>
  <c r="BP116" i="5" s="1"/>
  <c r="AG112" i="7"/>
  <c r="AI112" i="7" s="1"/>
  <c r="AG111" i="7"/>
  <c r="AI111" i="7" s="1"/>
  <c r="O121" i="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Q113" i="1" s="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N119" i="5" s="1"/>
  <c r="AD116" i="1" l="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J119" i="5" s="1" a="1"/>
  <c r="BJ119"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CY110" i="8"/>
  <c r="G110" i="1" s="1"/>
  <c r="M110" i="8" s="1"/>
  <c r="V116" i="2"/>
  <c r="CJ112" i="8"/>
  <c r="CN112" i="8" s="1"/>
  <c r="F121" i="8"/>
  <c r="AO113" i="5"/>
  <c r="AV114" i="5"/>
  <c r="BP117" i="5" a="1"/>
  <c r="BP117" i="5" s="1"/>
  <c r="O122" i="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CA119" i="14" s="1"/>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Q114" i="1" s="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N120" i="5" s="1"/>
  <c r="O120" i="2"/>
  <c r="P120" i="2"/>
  <c r="M119" i="2"/>
  <c r="AD117" i="1" l="1"/>
  <c r="BQ119" i="5" a="1"/>
  <c r="BQ119" i="5" s="1"/>
  <c r="BF119" i="5" a="1"/>
  <c r="BF119" i="5" s="1"/>
  <c r="CW119" i="5"/>
  <c r="CQ119" i="5"/>
  <c r="CT119" i="5"/>
  <c r="CR119" i="5"/>
  <c r="CU119" i="5"/>
  <c r="CS119" i="5"/>
  <c r="CV119" i="5"/>
  <c r="AY119" i="5" a="1"/>
  <c r="AY119" i="5" s="1"/>
  <c r="BL119" i="5" a="1"/>
  <c r="BL119" i="5" s="1"/>
  <c r="BD119" i="5" a="1"/>
  <c r="BD119" i="5" s="1"/>
  <c r="BB119" i="5" a="1"/>
  <c r="BB119" i="5" s="1"/>
  <c r="BB120" i="5" s="1" a="1"/>
  <c r="BB120" i="5" s="1"/>
  <c r="BI119" i="5" a="1"/>
  <c r="BI119" i="5" s="1"/>
  <c r="BI120" i="5" s="1" a="1"/>
  <c r="BI120"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L112" i="8"/>
  <c r="O113" i="8"/>
  <c r="CQ112" i="8"/>
  <c r="CR112" i="8" s="1"/>
  <c r="O112" i="8"/>
  <c r="F122" i="8"/>
  <c r="AO114" i="5"/>
  <c r="AV115" i="5"/>
  <c r="BP118" i="5" a="1"/>
  <c r="BP118" i="5" s="1"/>
  <c r="BD115" i="8"/>
  <c r="BP115" i="8" s="1"/>
  <c r="AG113" i="7"/>
  <c r="AI113" i="7" s="1"/>
  <c r="O123" i="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Q115" i="1" s="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AD118" i="1" l="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CY112" i="8"/>
  <c r="G112" i="1" s="1"/>
  <c r="M112" i="8" s="1"/>
  <c r="V118" i="2"/>
  <c r="D116" i="9"/>
  <c r="BS115" i="8"/>
  <c r="BY115" i="8" s="1"/>
  <c r="O114" i="8"/>
  <c r="F123" i="8"/>
  <c r="BO115" i="8"/>
  <c r="AO115" i="5"/>
  <c r="AV116" i="5"/>
  <c r="BP119" i="5" a="1"/>
  <c r="BP119" i="5" s="1"/>
  <c r="AG114" i="7"/>
  <c r="AI114" i="7" s="1"/>
  <c r="AG115" i="7"/>
  <c r="AI115" i="7" s="1"/>
  <c r="O124" i="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CA121" i="14" s="1"/>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Q116" i="1" s="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N122" i="5" s="1"/>
  <c r="M121" i="2"/>
  <c r="P122" i="2"/>
  <c r="BQ121" i="5" l="1"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BZ115" i="8"/>
  <c r="CQ115" i="8" s="1"/>
  <c r="CR115" i="8" s="1"/>
  <c r="V119" i="2"/>
  <c r="O115" i="8"/>
  <c r="CJ115" i="8"/>
  <c r="CN115" i="8" s="1"/>
  <c r="F124" i="8"/>
  <c r="AO116" i="5"/>
  <c r="AV117" i="5"/>
  <c r="BP120" i="5" a="1"/>
  <c r="BP120" i="5" s="1"/>
  <c r="DA117" i="8"/>
  <c r="DB117" i="8" s="1"/>
  <c r="AG116" i="7"/>
  <c r="AI116" i="7" s="1"/>
  <c r="O125" i="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CA122" i="14" s="1"/>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Q117" i="1" s="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BD122" i="5" l="1"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BH123" i="5" s="1" a="1"/>
  <c r="BH123"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L115" i="8"/>
  <c r="CY115" i="8" s="1"/>
  <c r="G115" i="1" s="1"/>
  <c r="M115" i="8" s="1"/>
  <c r="CD117" i="8"/>
  <c r="CT117" i="8" s="1"/>
  <c r="CJ117" i="8"/>
  <c r="CN117" i="8" s="1"/>
  <c r="CJ116" i="8"/>
  <c r="CN116" i="8" s="1"/>
  <c r="F125" i="8"/>
  <c r="AO117" i="5"/>
  <c r="AV118" i="5"/>
  <c r="BP121" i="5" a="1"/>
  <c r="BP121" i="5" s="1"/>
  <c r="AG117" i="7"/>
  <c r="AI117" i="7" s="1"/>
  <c r="O126" i="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CA123" i="14" s="1"/>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Q118" i="1" s="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N124" i="5" s="1"/>
  <c r="AD121" i="1" l="1"/>
  <c r="BM123" i="5" a="1"/>
  <c r="BM123" i="5" s="1"/>
  <c r="BQ123" i="5" a="1"/>
  <c r="BQ123" i="5" s="1"/>
  <c r="BE123" i="5" a="1"/>
  <c r="BE123" i="5" s="1"/>
  <c r="BN123" i="5" a="1"/>
  <c r="BN123" i="5" s="1"/>
  <c r="BO123" i="5" a="1"/>
  <c r="BO123" i="5" s="1"/>
  <c r="BO124" i="5" s="1" a="1"/>
  <c r="BO124" i="5" s="1"/>
  <c r="CR123" i="5"/>
  <c r="CU123" i="5"/>
  <c r="CS123" i="5"/>
  <c r="CQ123" i="5"/>
  <c r="CT123" i="5"/>
  <c r="CV123" i="5"/>
  <c r="CW123" i="5"/>
  <c r="AY123" i="5" a="1"/>
  <c r="AY123" i="5" s="1"/>
  <c r="BL123" i="5" a="1"/>
  <c r="BL123" i="5" s="1"/>
  <c r="BG123" i="5" a="1"/>
  <c r="BG123" i="5" s="1"/>
  <c r="BG124" i="5" s="1" a="1"/>
  <c r="BG124" i="5" s="1"/>
  <c r="BB123" i="5" a="1"/>
  <c r="BB123" i="5" s="1"/>
  <c r="BJ123" i="5" a="1"/>
  <c r="BJ123" i="5" s="1"/>
  <c r="AZ123" i="5" a="1"/>
  <c r="AZ123" i="5" s="1"/>
  <c r="BA123" i="5" a="1"/>
  <c r="BA123" i="5" s="1"/>
  <c r="BF123" i="5" a="1"/>
  <c r="BF123" i="5" s="1"/>
  <c r="BF124" i="5" s="1" a="1"/>
  <c r="BF124" i="5" s="1"/>
  <c r="BC123" i="5" a="1"/>
  <c r="BC123" i="5" s="1"/>
  <c r="BC124" i="5" s="1" a="1"/>
  <c r="BC124" i="5" s="1"/>
  <c r="BK123" i="5" a="1"/>
  <c r="BK123" i="5" s="1"/>
  <c r="BK124" i="5" s="1" a="1"/>
  <c r="BK124" i="5" s="1"/>
  <c r="BI123" i="5" a="1"/>
  <c r="BI123" i="5" s="1"/>
  <c r="BI124" i="5" s="1" a="1"/>
  <c r="BI124" i="5" s="1"/>
  <c r="BD123" i="5" a="1"/>
  <c r="BD123" i="5" s="1"/>
  <c r="BD124" i="5" s="1" a="1"/>
  <c r="BD124" i="5" s="1"/>
  <c r="V121" i="2"/>
  <c r="CU117" i="8"/>
  <c r="CL116" i="8"/>
  <c r="O117" i="8"/>
  <c r="CQ116" i="8"/>
  <c r="CR116" i="8" s="1"/>
  <c r="O116" i="8"/>
  <c r="F126" i="8"/>
  <c r="AO118" i="5"/>
  <c r="AV119" i="5"/>
  <c r="BP122" i="5" a="1"/>
  <c r="BP122" i="5" s="1"/>
  <c r="O127" i="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CA124" i="14" s="1"/>
  <c r="A124" i="7"/>
  <c r="R124" i="7" s="1"/>
  <c r="A124" i="5"/>
  <c r="A124" i="9"/>
  <c r="A124" i="2"/>
  <c r="A124" i="8"/>
  <c r="AR123" i="8"/>
  <c r="AD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Q119" i="1" s="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N125" i="5" s="1"/>
  <c r="O125" i="2"/>
  <c r="P125" i="2"/>
  <c r="M124" i="2"/>
  <c r="AD122" i="1" l="1"/>
  <c r="BA124" i="5" a="1"/>
  <c r="BA124" i="5" s="1"/>
  <c r="BN124" i="5" a="1"/>
  <c r="BN124" i="5" s="1"/>
  <c r="BE124" i="5" a="1"/>
  <c r="BE124" i="5" s="1"/>
  <c r="AZ124" i="5" a="1"/>
  <c r="AZ124" i="5" s="1"/>
  <c r="AZ125" i="5" s="1" a="1"/>
  <c r="AZ125" i="5" s="1"/>
  <c r="BQ124" i="5" a="1"/>
  <c r="BQ124" i="5" s="1"/>
  <c r="BJ124" i="5" a="1"/>
  <c r="BJ124" i="5" s="1"/>
  <c r="BM124" i="5" a="1"/>
  <c r="BM124" i="5" s="1"/>
  <c r="BM125" i="5" s="1" a="1"/>
  <c r="BM125" i="5" s="1"/>
  <c r="CS124" i="5"/>
  <c r="CT124" i="5"/>
  <c r="CV124" i="5"/>
  <c r="CQ124" i="5"/>
  <c r="CU124" i="5"/>
  <c r="CW124" i="5"/>
  <c r="CR124" i="5"/>
  <c r="AY124" i="5" a="1"/>
  <c r="AY124" i="5" s="1"/>
  <c r="BL124" i="5" a="1"/>
  <c r="BL124" i="5" s="1"/>
  <c r="BB124" i="5" a="1"/>
  <c r="BB124" i="5" s="1"/>
  <c r="BH124" i="5" a="1"/>
  <c r="BH124" i="5" s="1"/>
  <c r="V122" i="2"/>
  <c r="CY116" i="8"/>
  <c r="G116" i="1" s="1"/>
  <c r="M116" i="8" s="1"/>
  <c r="F127" i="8"/>
  <c r="AO119" i="5"/>
  <c r="AV120" i="5"/>
  <c r="BP123" i="5" a="1"/>
  <c r="BP123" i="5" s="1"/>
  <c r="AG118" i="7"/>
  <c r="AI118" i="7" s="1"/>
  <c r="AG119" i="7"/>
  <c r="AI119" i="7" s="1"/>
  <c r="O128" i="1"/>
  <c r="BY118" i="8"/>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Q120" i="1" s="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N126" i="5" s="1"/>
  <c r="AD123" i="1" l="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O119" i="8"/>
  <c r="CQ118" i="8"/>
  <c r="CR118" i="8" s="1"/>
  <c r="O118" i="8"/>
  <c r="CJ119" i="8"/>
  <c r="CN119" i="8" s="1"/>
  <c r="F128" i="8"/>
  <c r="AO120" i="5"/>
  <c r="AV121" i="5"/>
  <c r="BP124" i="5" a="1"/>
  <c r="BP124" i="5" s="1"/>
  <c r="AG120" i="7"/>
  <c r="AI120" i="7" s="1"/>
  <c r="O129" i="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Q121" i="1" s="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D124" i="1" l="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AZ127" i="5" s="1" a="1"/>
  <c r="AZ127"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L119" i="8"/>
  <c r="CY119" i="8" s="1"/>
  <c r="G119" i="1" s="1"/>
  <c r="M119" i="8" s="1"/>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Q122" i="1" s="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D125" i="1" l="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Q123" i="1" s="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N129" i="5" s="1"/>
  <c r="O129" i="2"/>
  <c r="CQ128" i="5" l="1"/>
  <c r="CR128" i="5"/>
  <c r="CW128" i="5"/>
  <c r="CU128" i="5"/>
  <c r="CV128" i="5"/>
  <c r="CT128" i="5"/>
  <c r="CS128" i="5"/>
  <c r="AY128" i="5" a="1"/>
  <c r="AY128" i="5" s="1"/>
  <c r="BL128" i="5" a="1"/>
  <c r="BL128" i="5" s="1"/>
  <c r="BG128" i="5" a="1"/>
  <c r="BG128" i="5" s="1"/>
  <c r="BI128" i="5" a="1"/>
  <c r="BI128" i="5" s="1"/>
  <c r="BI129" i="5" s="1" a="1"/>
  <c r="BI129" i="5" s="1"/>
  <c r="BN128" i="5" a="1"/>
  <c r="BN128" i="5" s="1"/>
  <c r="BN129" i="5" s="1" a="1"/>
  <c r="BN129" i="5" s="1"/>
  <c r="BF128" i="5" a="1"/>
  <c r="BF128" i="5" s="1"/>
  <c r="AD126" i="1"/>
  <c r="BB128" i="5" a="1"/>
  <c r="BB128" i="5" s="1"/>
  <c r="BB129" i="5" s="1" a="1"/>
  <c r="BB129"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Q121" i="8"/>
  <c r="CR121" i="8" s="1"/>
  <c r="O121" i="8"/>
  <c r="F131" i="8"/>
  <c r="AO123" i="5"/>
  <c r="AV124" i="5"/>
  <c r="BP127" i="5" a="1"/>
  <c r="BP127" i="5" s="1"/>
  <c r="AK127" i="11"/>
  <c r="E124" i="1"/>
  <c r="Q124" i="1" s="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N130" i="5" s="1"/>
  <c r="M129" i="2"/>
  <c r="O130" i="2"/>
  <c r="P130" i="2"/>
  <c r="AD127" i="1" l="1"/>
  <c r="CQ129" i="5"/>
  <c r="CS129" i="5"/>
  <c r="CW129" i="5"/>
  <c r="CR129" i="5"/>
  <c r="CT129" i="5"/>
  <c r="CU129" i="5"/>
  <c r="CV129" i="5"/>
  <c r="AY129" i="5" a="1"/>
  <c r="AY129" i="5" s="1"/>
  <c r="BL129" i="5" a="1"/>
  <c r="BL129" i="5" s="1"/>
  <c r="AD128" i="1" s="1"/>
  <c r="BF129" i="5" a="1"/>
  <c r="BF129" i="5" s="1"/>
  <c r="AZ129" i="5" a="1"/>
  <c r="AZ129" i="5" s="1"/>
  <c r="BG129" i="5" a="1"/>
  <c r="BG129" i="5" s="1"/>
  <c r="BJ129" i="5" a="1"/>
  <c r="BJ129" i="5" s="1"/>
  <c r="BM129" i="5" a="1"/>
  <c r="BM129" i="5" s="1"/>
  <c r="BM130" i="5" s="1" a="1"/>
  <c r="BM130" i="5" s="1"/>
  <c r="BQ129" i="5" a="1"/>
  <c r="BQ129" i="5" s="1"/>
  <c r="BQ130" i="5" s="1" a="1"/>
  <c r="BQ130" i="5" s="1"/>
  <c r="BH129" i="5" a="1"/>
  <c r="BH129" i="5" s="1"/>
  <c r="BO129" i="5" a="1"/>
  <c r="BO129" i="5" s="1"/>
  <c r="BA129" i="5" a="1"/>
  <c r="BA129" i="5" s="1"/>
  <c r="BK129" i="5" a="1"/>
  <c r="BK129" i="5" s="1"/>
  <c r="BC129" i="5" a="1"/>
  <c r="BC129" i="5" s="1"/>
  <c r="BE129" i="5" a="1"/>
  <c r="BE129" i="5" s="1"/>
  <c r="BD129" i="5" a="1"/>
  <c r="BD129" i="5" s="1"/>
  <c r="V127" i="2"/>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CA130" i="14" s="1"/>
  <c r="A130" i="8"/>
  <c r="A130" i="2"/>
  <c r="A130" i="7"/>
  <c r="R130" i="7" s="1"/>
  <c r="A130" i="5"/>
  <c r="BN130" i="5" s="1" a="1"/>
  <c r="BN130" i="5" s="1"/>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Q125" i="1" s="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CY122" i="8" l="1"/>
  <c r="G122" i="1" s="1"/>
  <c r="M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AD129" i="1" s="1"/>
  <c r="BK130" i="5" a="1"/>
  <c r="BK130" i="5" s="1"/>
  <c r="BI130" i="5" a="1"/>
  <c r="BI130" i="5" s="1"/>
  <c r="BA130" i="5" a="1"/>
  <c r="BA130" i="5" s="1"/>
  <c r="BO130" i="5" a="1"/>
  <c r="BO130" i="5" s="1"/>
  <c r="BH130" i="5" a="1"/>
  <c r="BH130" i="5" s="1"/>
  <c r="V128" i="2"/>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Q126" i="1" s="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BC131" i="5" l="1"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A132" i="5" s="1" a="1"/>
  <c r="BA132" i="5" s="1"/>
  <c r="BB131" i="5" a="1"/>
  <c r="BB131" i="5" s="1"/>
  <c r="BB132" i="5" s="1" a="1"/>
  <c r="BB132"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Q124" i="8"/>
  <c r="CR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Q127" i="1" s="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N133" i="5" s="1"/>
  <c r="O133" i="2"/>
  <c r="M132" i="2"/>
  <c r="AD130" i="1" l="1"/>
  <c r="CY124" i="8"/>
  <c r="G124" i="1" s="1"/>
  <c r="M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Q128" i="1" s="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N134" i="5" s="1"/>
  <c r="P134" i="2"/>
  <c r="O134" i="2"/>
  <c r="AD131" i="1" l="1"/>
  <c r="BC133" i="5" a="1"/>
  <c r="BC133" i="5" s="1"/>
  <c r="BI133" i="5" a="1"/>
  <c r="BI133" i="5" s="1"/>
  <c r="CY125" i="8"/>
  <c r="G125" i="1" s="1"/>
  <c r="M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Q129" i="1" s="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N135" i="5" s="1"/>
  <c r="M134" i="2"/>
  <c r="AD132" i="1" l="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O135" i="5" s="1" a="1"/>
  <c r="BO135" i="5" s="1"/>
  <c r="BJ134" i="5" a="1"/>
  <c r="BJ134" i="5" s="1"/>
  <c r="BJ135" i="5" s="1" a="1"/>
  <c r="BJ135"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CY126" i="8"/>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Q130" i="1" s="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N136" i="5" s="1"/>
  <c r="P136" i="2"/>
  <c r="AD133" i="1" l="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E136" i="5" s="1" a="1"/>
  <c r="BE136" i="5" s="1"/>
  <c r="BO136" i="5" a="1"/>
  <c r="BO136"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Q131" i="1" s="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D134" i="1" l="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D135" i="1" l="1"/>
  <c r="AS135" i="5"/>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Q132" i="1" s="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Q133" i="1" s="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Q134" i="1" s="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Q135" i="1" s="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CQ134" i="8" s="1"/>
  <c r="CR134" i="8" s="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Q136" i="1" s="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U4" i="1"/>
  <c r="J5" i="1" s="1"/>
  <c r="L90" i="14"/>
  <c r="L5" i="14"/>
  <c r="L89" i="14"/>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O6" i="8"/>
  <c r="AQ6" i="1"/>
  <c r="AL6" i="5"/>
  <c r="BK6" i="1"/>
  <c r="D5" i="1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<sst xmlns="http://schemas.openxmlformats.org/spreadsheetml/2006/main" count="2921" uniqueCount="1117">
  <si>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</si>
  <si>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</si>
  <si>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</si>
  <si>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</si>
  <si>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</si>
  <si>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</si>
  <si>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</si>
  <si>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</si>
  <si>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</si>
  <si>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</si>
  <si>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</si>
  <si>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</si>
  <si>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</si>
  <si>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</si>
  <si>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</si>
  <si>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</si>
  <si>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</si>
  <si>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</si>
  <si>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</si>
  <si>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</si>
  <si>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</si>
  <si>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</si>
  <si>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</si>
  <si>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</si>
  <si>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</si>
  <si>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</si>
  <si>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</si>
  <si>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</si>
  <si>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</si>
  <si>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</si>
  <si>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</si>
  <si>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</si>
  <si>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</si>
  <si>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</si>
  <si>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</si>
  <si>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</si>
  <si>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</si>
  <si>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</si>
  <si>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</si>
  <si>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</si>
  <si>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</si>
  <si>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</si>
  <si>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</si>
  <si>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</si>
  <si>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</si>
  <si>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</si>
  <si>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</si>
  <si>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</si>
  <si>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</si>
  <si>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</si>
  <si>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</si>
  <si>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</si>
  <si>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</si>
  <si>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</si>
  <si>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</si>
  <si>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</si>
  <si>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</si>
  <si>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</si>
  <si>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</si>
  <si>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</si>
  <si>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</si>
  <si>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</si>
  <si>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</si>
  <si>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</si>
  <si>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</si>
  <si>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</si>
  <si>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</si>
  <si>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</si>
  <si>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</si>
  <si>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</si>
  <si>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</si>
  <si>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</si>
  <si>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</si>
  <si>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</si>
  <si>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</si>
  <si>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</si>
  <si>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</si>
  <si>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</si>
  <si>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</si>
  <si>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</si>
  <si>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</si>
  <si>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</si>
  <si>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</si>
  <si>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</si>
  <si>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</si>
  <si>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</si>
  <si>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</si>
  <si>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</si>
  <si>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</si>
  <si>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</si>
  <si>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</si>
  <si>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</si>
  <si>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</si>
  <si>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</si>
  <si>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</si>
  <si>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</si>
  <si>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</si>
  <si>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</si>
  <si>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</si>
  <si>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</si>
  <si>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</si>
  <si>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</si>
  <si>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</si>
  <si>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</si>
  <si>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</si>
  <si>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</si>
  <si>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</si>
  <si>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</si>
  <si>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</si>
  <si>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</si>
  <si>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</si>
  <si>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</si>
  <si>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</si>
  <si>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</si>
  <si>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</si>
  <si>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</si>
  <si>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</si>
  <si>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</si>
  <si>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</si>
  <si>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</si>
  <si>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</si>
  <si>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</si>
  <si>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</si>
  <si>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</si>
  <si>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</si>
  <si>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</si>
  <si>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</si>
  <si>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</si>
  <si>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</si>
  <si>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</si>
  <si>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</si>
  <si>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</si>
  <si>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</si>
  <si>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</si>
  <si>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</si>
  <si>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</si>
  <si>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</si>
  <si>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</si>
  <si>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</si>
  <si>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</si>
  <si>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</si>
  <si>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</si>
  <si>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</si>
  <si>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</si>
  <si>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</si>
  <si>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</si>
  <si>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</si>
  <si>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</si>
  <si>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</si>
  <si>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</si>
  <si>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</si>
  <si>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</si>
  <si>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</si>
  <si>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</si>
  <si>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</si>
  <si>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</si>
  <si>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</si>
  <si>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</si>
  <si>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</si>
  <si>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</si>
  <si>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</si>
  <si>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</si>
  <si>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</si>
  <si>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</si>
  <si>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</si>
  <si>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</si>
  <si>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</si>
  <si>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</si>
  <si>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</si>
  <si>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</si>
  <si>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</si>
  <si>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</si>
  <si>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</si>
  <si>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</si>
  <si>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</si>
  <si>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</si>
  <si>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</si>
  <si>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</si>
  <si>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</si>
  <si>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</si>
  <si>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</si>
  <si>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</si>
  <si>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</si>
  <si>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</si>
  <si>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</si>
  <si>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</si>
  <si>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</si>
  <si>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</si>
  <si>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</si>
  <si>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</si>
  <si>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</si>
  <si>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</si>
  <si>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</si>
  <si>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</si>
  <si>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</si>
  <si>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</si>
  <si>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</si>
  <si>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</si>
  <si>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</si>
  <si>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</si>
  <si>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</si>
  <si>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</si>
  <si>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</si>
  <si>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</si>
  <si>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</si>
  <si>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</si>
  <si>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</si>
  <si>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</si>
  <si>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</si>
  <si>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</si>
  <si>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</si>
  <si>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</si>
  <si>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</si>
  <si>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</si>
  <si>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</si>
  <si>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</si>
  <si>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</si>
  <si>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</si>
  <si>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</si>
  <si>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</si>
  <si>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</si>
  <si>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</si>
  <si>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</si>
  <si>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</si>
  <si>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</si>
  <si>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</si>
  <si>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</si>
  <si>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</si>
  <si>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</si>
  <si>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</si>
  <si>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</si>
  <si>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</si>
  <si>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</si>
  <si>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</si>
  <si>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</si>
  <si>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</si>
  <si>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</si>
  <si>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</si>
  <si>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</si>
  <si>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</si>
  <si>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</si>
  <si>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</si>
  <si>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</si>
  <si>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</si>
  <si>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</si>
  <si>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</si>
  <si>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</si>
  <si>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</si>
  <si>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</si>
  <si>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</si>
  <si>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</si>
  <si>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</si>
  <si>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</si>
  <si>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</si>
  <si>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</si>
  <si>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</si>
  <si>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</si>
  <si>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</si>
  <si>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</si>
  <si>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</si>
  <si>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</si>
  <si>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</si>
  <si>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</si>
  <si>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</si>
  <si>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</si>
  <si>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</si>
  <si>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</si>
  <si>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</si>
  <si>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</si>
  <si>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</si>
  <si>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</si>
  <si>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</si>
  <si>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</si>
  <si>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</si>
  <si>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</si>
  <si>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</si>
  <si>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</si>
  <si>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</si>
  <si>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</si>
  <si>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</si>
  <si>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</si>
  <si>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</si>
  <si>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</si>
  <si>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</si>
  <si>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</si>
  <si>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</si>
  <si>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</si>
  <si>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</si>
  <si>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</si>
  <si>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</si>
  <si>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</si>
  <si>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</si>
  <si>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</si>
  <si>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</si>
  <si>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</si>
  <si>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</si>
  <si>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</si>
  <si>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</si>
  <si>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</si>
  <si>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</si>
  <si>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</si>
  <si>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</si>
  <si>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</si>
  <si>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</si>
  <si>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</si>
  <si>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</si>
  <si>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</si>
  <si>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</si>
  <si>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</si>
  <si>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</si>
  <si>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</si>
  <si>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</si>
  <si>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</si>
  <si>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</si>
  <si>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</si>
  <si>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</si>
  <si>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</si>
  <si>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</si>
  <si>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</si>
  <si>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</si>
  <si>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</si>
  <si>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</si>
  <si>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</si>
  <si>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</si>
  <si>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</si>
  <si>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</si>
  <si>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</si>
  <si>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</si>
  <si>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</si>
  <si>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</si>
  <si>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</si>
  <si>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</si>
  <si>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</si>
  <si>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</si>
  <si>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</si>
  <si>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</si>
  <si>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</si>
  <si>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</si>
  <si>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</si>
  <si>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</si>
  <si>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</si>
  <si>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</si>
  <si>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</si>
  <si>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</si>
  <si>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</si>
  <si>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</si>
  <si>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</si>
  <si>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</si>
  <si>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</si>
  <si>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</si>
  <si>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</si>
  <si>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</si>
  <si>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</si>
  <si>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</si>
  <si>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</si>
  <si>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</si>
  <si>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</si>
  <si>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</si>
  <si>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</si>
  <si>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</si>
  <si>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</si>
  <si>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</si>
  <si>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</si>
  <si>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</si>
  <si>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</si>
  <si>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</si>
  <si>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</si>
  <si>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</si>
  <si>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</si>
  <si>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</si>
  <si>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</si>
  <si>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</si>
  <si>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</si>
  <si>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</si>
  <si>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</si>
  <si>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</si>
  <si>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</si>
  <si>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</si>
  <si>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</si>
  <si>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</si>
  <si>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</si>
  <si>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</si>
  <si>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</si>
  <si>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</si>
  <si>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</si>
  <si>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</si>
  <si>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</si>
  <si>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</si>
  <si>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</si>
  <si>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</si>
  <si>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</si>
  <si>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</si>
  <si>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</si>
  <si>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</si>
  <si>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</si>
  <si>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</si>
  <si>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</si>
  <si>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</si>
  <si>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</si>
  <si>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</si>
  <si>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</si>
  <si>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</si>
  <si>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</si>
  <si>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</si>
  <si>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</si>
  <si>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</si>
  <si>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</si>
  <si>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</si>
  <si>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</si>
  <si>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</si>
  <si>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</si>
  <si>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</si>
  <si>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</si>
  <si>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</si>
  <si>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</si>
  <si>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</si>
  <si>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</si>
  <si>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</si>
  <si>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</si>
  <si>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</si>
  <si>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</si>
  <si>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</si>
  <si>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</si>
  <si>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</si>
  <si>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</si>
  <si>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</si>
  <si>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</si>
  <si>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</si>
  <si>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</si>
  <si>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</si>
  <si>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</si>
  <si>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</si>
  <si>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</si>
  <si>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</si>
  <si>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</si>
  <si>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</si>
  <si>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</si>
  <si>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</si>
  <si>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</si>
  <si>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</si>
  <si>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</si>
  <si>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</si>
  <si>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</si>
  <si>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</si>
  <si>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</si>
  <si>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</si>
  <si>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</si>
  <si>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</si>
  <si>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</si>
  <si>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</si>
  <si>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</si>
  <si>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</si>
  <si>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</si>
  <si>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</si>
  <si>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</si>
  <si>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</si>
  <si>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</si>
  <si>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</si>
  <si>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</si>
  <si>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</si>
  <si>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</si>
  <si>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</si>
  <si>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</si>
  <si>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</si>
  <si>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</si>
  <si>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</si>
  <si>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</si>
  <si>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</si>
  <si>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</si>
  <si>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</si>
  <si>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</si>
  <si>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</si>
  <si>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</si>
  <si>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</si>
  <si>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</si>
  <si>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</si>
  <si>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</si>
  <si>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</si>
  <si>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</si>
  <si>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</si>
  <si>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</si>
  <si>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</si>
  <si>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</si>
  <si>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</si>
  <si>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</si>
  <si>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</si>
  <si>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</si>
  <si>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</si>
  <si>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</si>
  <si>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</si>
  <si>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</si>
  <si>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</si>
  <si>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</si>
  <si>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</si>
  <si>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</si>
  <si>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</si>
  <si>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</si>
  <si>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</si>
  <si>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</si>
  <si>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</si>
  <si>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</si>
  <si>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</si>
  <si>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</si>
  <si>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</si>
  <si>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</si>
  <si>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</si>
  <si>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</si>
  <si>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</si>
  <si>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</si>
  <si>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</si>
  <si>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</si>
  <si>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</si>
  <si>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</si>
  <si>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</si>
  <si>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</si>
  <si>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</si>
  <si>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</si>
  <si>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</si>
  <si>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</si>
  <si>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</si>
  <si>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</si>
  <si>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</si>
  <si>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</si>
  <si>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</si>
  <si>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</si>
  <si>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</si>
  <si>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</si>
  <si>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</si>
  <si>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</si>
  <si>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</si>
  <si>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</si>
  <si>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</si>
  <si>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</si>
  <si>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</si>
  <si>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</si>
  <si>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</si>
  <si>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</si>
  <si>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</si>
  <si>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</si>
  <si>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</si>
  <si>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</si>
  <si>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</si>
  <si>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</si>
  <si>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</si>
  <si>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</si>
  <si>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</si>
  <si>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</si>
  <si>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</si>
  <si>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</si>
  <si>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</si>
  <si>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</si>
  <si>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</si>
  <si>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</si>
  <si>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</si>
  <si>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</si>
  <si>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</si>
  <si>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</si>
  <si>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</si>
  <si>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</si>
  <si>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</si>
  <si>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</si>
  <si>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</si>
  <si>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</si>
  <si>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</si>
  <si>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</si>
  <si>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</si>
  <si>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</si>
  <si>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</si>
  <si>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</si>
  <si>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</si>
  <si>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</si>
  <si>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</si>
  <si>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</si>
  <si>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</si>
  <si>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</si>
  <si>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</si>
  <si>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</si>
  <si>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</si>
  <si>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</si>
  <si>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</si>
  <si>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</si>
  <si>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</si>
  <si>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</si>
  <si>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</si>
  <si>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</si>
  <si>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</si>
  <si>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</si>
  <si>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</si>
  <si>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</si>
  <si>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</si>
  <si>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</si>
  <si>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</si>
  <si>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</si>
  <si>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</si>
  <si>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</si>
  <si>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</si>
  <si>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</si>
  <si>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</si>
  <si>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</si>
  <si>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</si>
  <si>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</si>
  <si>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</si>
  <si>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</si>
  <si>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</si>
  <si>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</si>
  <si>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</si>
  <si>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</si>
  <si>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</si>
  <si>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</si>
  <si>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</si>
  <si>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</si>
  <si>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</si>
  <si>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</si>
  <si>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</si>
  <si>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</si>
  <si>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</si>
  <si>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</si>
  <si>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</si>
  <si>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</si>
  <si>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</si>
  <si>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</si>
  <si>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</si>
  <si>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</si>
  <si>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</si>
  <si>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</si>
  <si>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</si>
  <si>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</si>
  <si>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</si>
  <si>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</si>
  <si>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</si>
  <si>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</si>
  <si>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</si>
  <si>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</si>
  <si>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</si>
  <si>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</si>
  <si>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</si>
  <si>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</si>
  <si>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</si>
  <si>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</si>
  <si>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</si>
  <si>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</si>
  <si>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</si>
  <si>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</si>
  <si>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</si>
  <si>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</si>
  <si>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</si>
  <si>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</si>
  <si>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</si>
  <si>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</si>
  <si>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</si>
  <si>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</si>
  <si>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</si>
  <si>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</si>
  <si>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</si>
  <si>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</si>
  <si>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</si>
  <si>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</si>
  <si>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</si>
  <si>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</si>
  <si>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</si>
  <si>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</si>
  <si>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</si>
  <si>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</si>
  <si>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</si>
  <si>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</si>
  <si>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</si>
  <si>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</si>
  <si>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</si>
  <si>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</si>
  <si>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</si>
  <si>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</si>
  <si>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</si>
  <si>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</si>
  <si>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</si>
  <si>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</si>
  <si>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</si>
  <si>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</si>
  <si>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</si>
  <si>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</si>
  <si>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</si>
  <si>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</si>
  <si>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</si>
  <si>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</si>
  <si>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</si>
  <si>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</si>
  <si>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</si>
  <si>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</si>
  <si>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</si>
  <si>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</si>
  <si>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</si>
  <si>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</si>
  <si>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</si>
  <si>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</si>
  <si>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</si>
  <si>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</si>
  <si>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</si>
  <si>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</si>
  <si>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</si>
  <si>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</si>
  <si>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</si>
  <si>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</si>
  <si>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</si>
  <si>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</si>
  <si>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</si>
  <si>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</si>
  <si>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</si>
  <si>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</si>
  <si>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</si>
  <si>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</si>
  <si>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</si>
  <si>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</si>
  <si>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</si>
  <si>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</si>
  <si>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</si>
  <si>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</si>
  <si>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</si>
  <si>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</si>
  <si>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</si>
  <si>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</si>
  <si>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</si>
  <si>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</si>
  <si>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</si>
  <si>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</si>
  <si>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</si>
  <si>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</si>
  <si>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</si>
  <si>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</si>
  <si>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</si>
  <si>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</si>
  <si>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</si>
  <si>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</si>
  <si>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</si>
  <si>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</si>
  <si>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</si>
  <si>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</si>
  <si>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</si>
  <si>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</si>
  <si>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</si>
  <si>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</si>
  <si>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</si>
  <si>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</si>
  <si>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</si>
  <si>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</si>
  <si>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</si>
  <si>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</si>
  <si>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</si>
  <si>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</si>
  <si>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</si>
  <si>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</si>
  <si>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</si>
  <si>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</si>
  <si>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</si>
  <si>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</si>
  <si>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</si>
  <si>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</si>
  <si>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</si>
  <si>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</si>
  <si>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</si>
  <si>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</si>
  <si>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</si>
  <si>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</si>
  <si>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</si>
  <si>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</si>
  <si>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</si>
  <si>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</si>
  <si>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</si>
  <si>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</si>
  <si>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</si>
  <si>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</si>
  <si>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</si>
  <si>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</si>
  <si>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</si>
  <si>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</si>
  <si>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</si>
  <si>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</si>
  <si>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</si>
  <si>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</si>
  <si>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</si>
  <si>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</si>
  <si>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</si>
  <si>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</si>
  <si>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</si>
  <si>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</si>
  <si>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</si>
  <si>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</si>
  <si>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</si>
  <si>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</si>
  <si>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</si>
  <si>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</si>
  <si>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</si>
  <si>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</si>
  <si>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</si>
  <si>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</si>
  <si>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</si>
  <si>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</si>
  <si>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</si>
  <si>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</si>
  <si>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</si>
  <si>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</si>
  <si>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</si>
  <si>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</si>
  <si>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</si>
  <si>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</si>
  <si>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</si>
  <si>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</si>
  <si>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</si>
  <si>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</si>
  <si>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</si>
  <si>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</si>
  <si>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</si>
  <si>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</si>
  <si>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</si>
  <si>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</si>
  <si>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</si>
  <si>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</si>
  <si>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</si>
  <si>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</si>
  <si>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</si>
  <si>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</si>
  <si>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</si>
  <si>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</si>
  <si>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</si>
  <si>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</si>
  <si>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</si>
  <si>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</si>
  <si>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</si>
  <si>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</si>
  <si>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</si>
  <si>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</si>
  <si>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</si>
  <si>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</si>
  <si>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</si>
  <si>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</si>
  <si>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</si>
  <si>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</si>
  <si>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</si>
  <si>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</si>
  <si>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</si>
  <si>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</si>
  <si>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</si>
  <si>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</si>
  <si>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</si>
  <si>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</si>
  <si>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</si>
  <si>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</si>
  <si>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</si>
  <si>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</si>
  <si>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</si>
  <si>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</si>
  <si>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</si>
  <si>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</si>
  <si>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</si>
  <si>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</si>
  <si>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</si>
  <si>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</si>
  <si>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</si>
  <si>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</si>
  <si>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</si>
  <si>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</si>
  <si>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</si>
  <si>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</si>
  <si>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</si>
  <si>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</si>
  <si>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</si>
  <si>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</si>
  <si>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</si>
  <si>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</si>
  <si>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</si>
  <si>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</si>
  <si>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</si>
  <si>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</si>
  <si>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</si>
  <si>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</si>
  <si>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</si>
  <si>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</si>
  <si>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</si>
  <si>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</si>
  <si>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</si>
  <si>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</si>
  <si>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</si>
  <si>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</si>
  <si>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</si>
  <si>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</si>
  <si>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</si>
  <si>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</si>
  <si>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</si>
  <si>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</si>
  <si>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</si>
  <si>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</si>
  <si>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</si>
  <si>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</si>
  <si>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</si>
  <si>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</si>
  <si>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</si>
  <si>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</si>
  <si>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</si>
  <si>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</si>
  <si>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</si>
  <si>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</si>
  <si>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</si>
  <si>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</si>
  <si>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</si>
  <si>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</si>
  <si>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</si>
  <si>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</si>
  <si>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</si>
  <si>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</si>
  <si>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</si>
  <si>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</si>
  <si>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</si>
  <si>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</si>
  <si>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</si>
  <si>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</si>
  <si>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</si>
  <si>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</si>
  <si>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</si>
  <si>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</si>
  <si>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</si>
  <si>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</si>
  <si>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</si>
  <si>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</si>
  <si>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</si>
  <si>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</si>
  <si>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</si>
  <si>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</si>
  <si>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</si>
  <si>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</si>
  <si>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</si>
  <si>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</si>
  <si>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</si>
  <si>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</si>
  <si>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</si>
  <si>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</si>
  <si>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</si>
  <si>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</si>
  <si>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</si>
  <si>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</si>
  <si>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</si>
  <si>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</si>
  <si>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</si>
  <si>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</si>
  <si>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</si>
  <si>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</si>
  <si>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</si>
  <si>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</si>
  <si>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</si>
  <si>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</si>
  <si>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</si>
  <si>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</si>
  <si>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</si>
  <si>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</si>
  <si>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</si>
  <si>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</si>
  <si>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</si>
  <si>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</si>
  <si>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</si>
  <si>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</si>
  <si>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</si>
  <si>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</si>
  <si>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</si>
  <si>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</si>
  <si>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</si>
  <si>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</si>
  <si>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</si>
  <si>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</si>
  <si>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</si>
  <si>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</si>
  <si>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</si>
  <si>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</si>
  <si>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</si>
  <si>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</si>
  <si>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</si>
  <si>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</si>
  <si>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</si>
  <si>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</si>
  <si>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</si>
  <si>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</si>
  <si>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</si>
  <si>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</si>
  <si>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</si>
  <si>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</si>
  <si>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</si>
  <si>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</si>
  <si>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</si>
  <si>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</si>
  <si>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</si>
  <si>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</si>
  <si>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</si>
  <si>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</si>
  <si>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</si>
  <si>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</si>
  <si>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</si>
  <si>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</si>
  <si>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</si>
  <si>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</si>
  <si>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</si>
  <si>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</si>
  <si>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</si>
  <si>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</si>
  <si>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</si>
  <si>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</si>
  <si>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</si>
  <si>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</si>
  <si>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</si>
  <si>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</si>
  <si>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</si>
  <si>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</si>
  <si>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</si>
  <si>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</si>
  <si>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</si>
  <si>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</si>
  <si>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</si>
  <si>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</si>
  <si>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</si>
  <si>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</si>
  <si>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</si>
  <si>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</si>
  <si>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</si>
  <si>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</si>
  <si>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</si>
  <si>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</si>
  <si>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</si>
  <si>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</si>
  <si>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</si>
  <si>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</si>
  <si>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</si>
  <si>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</si>
  <si>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</si>
  <si>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</si>
  <si>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</si>
  <si>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</si>
  <si>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</si>
  <si>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</si>
  <si>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</si>
  <si>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</si>
  <si>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</si>
  <si>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</si>
  <si>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</si>
  <si>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</si>
  <si>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</si>
  <si>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</si>
  <si>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</si>
  <si>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</si>
  <si>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</si>
  <si>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</si>
  <si>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</si>
  <si>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</si>
  <si>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</si>
  <si>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</si>
  <si>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</si>
  <si>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</si>
  <si>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</si>
  <si>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</si>
  <si>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</si>
  <si>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</si>
  <si>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</si>
  <si>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</si>
  <si>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</si>
  <si>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</si>
  <si>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</si>
  <si>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</si>
  <si>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</si>
  <si>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</si>
  <si>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</si>
  <si>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</si>
  <si>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</si>
  <si>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</si>
  <si>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</si>
  <si>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</si>
  <si>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</si>
  <si>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</si>
  <si>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</si>
  <si>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</si>
  <si>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</si>
  <si>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</si>
  <si>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</si>
  <si>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</si>
  <si>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</si>
  <si>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</si>
  <si>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</si>
  <si>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</si>
  <si>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</si>
  <si>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</si>
  <si>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</si>
  <si>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</si>
  <si>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</si>
  <si>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</si>
  <si>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</si>
  <si>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</si>
  <si>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</si>
  <si>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</si>
  <si>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</si>
  <si>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</si>
  <si>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</si>
  <si>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</si>
  <si>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</si>
  <si>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</si>
  <si>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</si>
  <si>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</si>
  <si>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</si>
  <si>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</si>
  <si>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</si>
  <si>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</si>
  <si>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</si>
  <si>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</si>
  <si>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</si>
  <si>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</si>
  <si>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</si>
  <si>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</si>
  <si>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</si>
  <si>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</si>
  <si>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t>Dire Bat</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</si>
  <si>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</si>
  <si>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</si>
  <si>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OD Round 29.5</t>
  </si>
  <si>
    <t>Killing Rage / Bloodrage / Crusade</t>
  </si>
  <si>
    <t>Goblin / Orc/ Hum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</si>
</sst>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8"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12">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1"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2" fillId="12" borderId="6" xfId="0" applyFont="1" applyFill="1" applyBorder="1"/>
    <xf numFmtId="0" fontId="22"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2"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3"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2"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2" fillId="0" borderId="0" xfId="0" applyFont="1"/>
    <xf numFmtId="0" fontId="25" fillId="0" borderId="0" xfId="0" applyFont="1"/>
    <xf numFmtId="0" fontId="22" fillId="0" borderId="0" xfId="0" applyFont="1" applyAlignment="1">
      <alignment horizontal="center"/>
    </xf>
    <xf numFmtId="0" fontId="26" fillId="0" borderId="0" xfId="0" applyFont="1"/>
    <xf numFmtId="2" fontId="22" fillId="0" borderId="0" xfId="0" applyNumberFormat="1" applyFont="1"/>
    <xf numFmtId="0" fontId="22" fillId="0" borderId="0" xfId="0" applyFont="1" applyBorder="1"/>
    <xf numFmtId="0" fontId="27"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0"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0"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1" fillId="27" borderId="0" xfId="0" applyFont="1" applyFill="1" applyBorder="1" applyAlignment="1">
      <alignment horizontal="right"/>
    </xf>
    <xf numFmtId="0" fontId="31" fillId="27" borderId="0" xfId="0" quotePrefix="1" applyFont="1" applyFill="1" applyBorder="1" applyAlignment="1">
      <alignment horizontal="center" vertical="center"/>
    </xf>
    <xf numFmtId="0" fontId="31"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2"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0"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0" fillId="0" borderId="0" xfId="0" applyFont="1" applyBorder="1" applyAlignment="1">
      <alignment horizontal="center"/>
    </xf>
    <xf numFmtId="0" fontId="33" fillId="0" borderId="0" xfId="0" applyFont="1" applyBorder="1" applyAlignment="1">
      <alignment horizontal="center"/>
    </xf>
    <xf numFmtId="49" fontId="34"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29" fillId="0" borderId="0" xfId="0" applyFont="1" applyAlignment="1">
      <alignment horizontal="center"/>
    </xf>
    <xf numFmtId="0" fontId="3" fillId="0" borderId="0" xfId="0" applyFont="1" applyAlignment="1">
      <alignment horizontal="center"/>
    </xf>
    <xf numFmtId="0" fontId="32"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2" fillId="0" borderId="0" xfId="0" applyFont="1" applyBorder="1" applyAlignment="1">
      <alignment horizontal="center"/>
    </xf>
    <xf numFmtId="0" fontId="32"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0"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0" fillId="0" borderId="0" xfId="0" applyNumberFormat="1" applyFont="1" applyBorder="1" applyAlignment="1">
      <alignment horizontal="right"/>
    </xf>
    <xf numFmtId="173" fontId="30"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1" fillId="27" borderId="8" xfId="0" applyFont="1" applyFill="1" applyBorder="1" applyAlignment="1">
      <alignment horizontal="right"/>
    </xf>
    <xf numFmtId="0" fontId="31"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0"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2" fillId="0" borderId="0" xfId="0" applyFont="1" applyFill="1" applyBorder="1"/>
    <xf numFmtId="0" fontId="37" fillId="0" borderId="0" xfId="0" applyFont="1"/>
    <xf numFmtId="0" fontId="24" fillId="0" borderId="0" xfId="0" applyFont="1" applyAlignment="1"/>
    <xf numFmtId="0" fontId="22"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28" fillId="0" borderId="28" xfId="0" applyFont="1" applyFill="1" applyBorder="1" applyAlignment="1">
      <alignment horizontal="center" vertical="center" wrapText="1"/>
    </xf>
    <xf numFmtId="0" fontId="28" fillId="0" borderId="19" xfId="0" applyFont="1" applyFill="1" applyBorder="1" applyAlignment="1">
      <alignment horizontal="center" vertical="center" wrapText="1"/>
    </xf>
    <xf numFmtId="0" fontId="28" fillId="0" borderId="29" xfId="0" applyFont="1" applyFill="1" applyBorder="1" applyAlignment="1">
      <alignment horizontal="center" vertical="center" wrapText="1"/>
    </xf>
    <xf numFmtId="0" fontId="28" fillId="0" borderId="17" xfId="0" applyFont="1" applyFill="1" applyBorder="1" applyAlignment="1">
      <alignment horizontal="center" vertical="center" wrapText="1"/>
    </xf>
    <xf numFmtId="0" fontId="28" fillId="0" borderId="0" xfId="0" applyFont="1" applyFill="1" applyBorder="1" applyAlignment="1">
      <alignment horizontal="center" vertical="center" wrapText="1"/>
    </xf>
    <xf numFmtId="0" fontId="28" fillId="0" borderId="23" xfId="0" applyFont="1" applyFill="1" applyBorder="1" applyAlignment="1">
      <alignment horizontal="center" vertical="center" wrapText="1"/>
    </xf>
    <xf numFmtId="0" fontId="28" fillId="0" borderId="38" xfId="0" applyFont="1" applyFill="1" applyBorder="1" applyAlignment="1">
      <alignment horizontal="center" vertical="center" wrapText="1"/>
    </xf>
    <xf numFmtId="0" fontId="28" fillId="0" borderId="33" xfId="0" applyFont="1" applyFill="1" applyBorder="1" applyAlignment="1">
      <alignment horizontal="center" vertical="center" wrapText="1"/>
    </xf>
    <xf numFmtId="0" fontId="28" fillId="0" borderId="39" xfId="0" applyFont="1" applyFill="1" applyBorder="1" applyAlignment="1">
      <alignment horizontal="center" vertical="center" wrapText="1"/>
    </xf>
    <xf numFmtId="0" fontId="20" fillId="12" borderId="0" xfId="0" applyFont="1" applyFill="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0"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vertical="center" wrapText="1"/>
    </xf>
    <xf numFmtId="0" fontId="19" fillId="2" borderId="0" xfId="0" applyFont="1" applyFill="1" applyBorder="1" applyAlignment="1">
      <alignment vertical="center" wrapText="1"/>
    </xf>
    <xf numFmtId="0" fontId="19" fillId="2" borderId="23" xfId="0" applyFont="1" applyFill="1" applyBorder="1" applyAlignment="1">
      <alignment vertical="center" wrapText="1"/>
    </xf>
    <xf numFmtId="0" fontId="19" fillId="2" borderId="32" xfId="0" applyFont="1" applyFill="1" applyBorder="1" applyAlignment="1">
      <alignment vertical="center" wrapText="1"/>
    </xf>
    <xf numFmtId="0" fontId="19" fillId="2" borderId="33" xfId="0" applyFont="1" applyFill="1" applyBorder="1" applyAlignment="1">
      <alignment vertical="center" wrapText="1"/>
    </xf>
    <xf numFmtId="0" fontId="19" fillId="2" borderId="39" xfId="0" applyFont="1" applyFill="1" applyBorder="1" applyAlignment="1">
      <alignment vertical="center"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0"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0"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xf numFmtId="0" fontId="30" fillId="0" borderId="0" xfId="0" applyFont="1" applyBorder="1" applyAlignment="1">
      <alignment horizontal="center" wrapText="1"/>
    </xf>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ill>
        <patternFill>
          <bgColor indexed="29"/>
        </patternFill>
      </fill>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7" dataDxfId="926">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25">
      <calculatedColumnFormula>_xlfn.SINGLE(INDEX(TblRaces[],MATCH(race,TblRaces[Race],0),4))</calculatedColumnFormula>
    </tableColumn>
    <tableColumn id="2" xr3:uid="{00000000-0010-0000-0000-000002000000}" name="Offense" dataDxfId="924">
      <calculatedColumnFormula>_xlfn.IFNA(INDEX(TblRaces[],MATCH(TblUnits[[#This Row],[Unit Names]],TblRaces[Unitname],0),5),"")</calculatedColumnFormula>
    </tableColumn>
    <tableColumn id="3" xr3:uid="{00000000-0010-0000-0000-000003000000}" name="Defense" dataDxfId="923">
      <calculatedColumnFormula>_xlfn.IFNA(INDEX(TblRaces[],MATCH(TblUnits[[#This Row],[Unit Names]],TblRaces[Unitname],0),6),"")</calculatedColumnFormula>
    </tableColumn>
    <tableColumn id="4" xr3:uid="{00000000-0010-0000-0000-000004000000}" name="Platinum" dataDxfId="922">
      <calculatedColumnFormula>_xlfn.IFNA(INDEX(TblRaces[],MATCH(TblUnits[[#This Row],[Unit Names]],TblRaces[Unitname],0),7),"")</calculatedColumnFormula>
    </tableColumn>
    <tableColumn id="5" xr3:uid="{00000000-0010-0000-0000-000005000000}" name="Ore" dataDxfId="921">
      <calculatedColumnFormula>_xlfn.IFNA(INDEX(TblRaces[],MATCH(TblUnits[[#This Row],[Unit Names]],TblRaces[Unitname],0),8),"")</calculatedColumnFormula>
    </tableColumn>
    <tableColumn id="6" xr3:uid="{00000000-0010-0000-0000-000006000000}" name="Networth" dataDxfId="92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9" dataDxfId="917" headerRowBorderDxfId="918" tableBorderDxfId="916">
  <autoFilter ref="H14:I32" xr:uid="{6EDA5300-DB26-4799-A5D1-5432AC102827}">
    <filterColumn colId="0" hiddenButton="1"/>
    <filterColumn colId="1" hiddenButton="1"/>
  </autoFilter>
  <tableColumns count="2">
    <tableColumn id="1" xr3:uid="{C93253AD-A598-462C-985D-E538FB5404AF}" name="Race Bonuses" dataDxfId="915"/>
    <tableColumn id="2" xr3:uid="{7301230A-1354-4459-BA19-9D8AE9608978}" name="Bonus" dataDxfId="91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13" dataDxfId="912" tableBorderDxfId="91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10"/>
    <tableColumn id="2" xr3:uid="{F7BA9D3F-F979-435F-AF55-B8562C7F08C8}" name=" " dataDxfId="909"/>
    <tableColumn id="3" xr3:uid="{C661B1D0-1EAD-42B7-889A-9265EA75CB1D}" name="Offense" dataDxfId="908"/>
    <tableColumn id="4" xr3:uid="{594F8FE6-285D-432D-AB90-DE26655C8963}" name="Bonus" dataDxfId="907"/>
    <tableColumn id="5" xr3:uid="{1A4EBEB0-1016-4D5D-920D-08D8AD7AFC97}" name="OP Mod" dataDxfId="906"/>
    <tableColumn id="6" xr3:uid="{0A455978-2417-4AD7-8969-95433ADAC6F4}" name="Defense" dataDxfId="905"/>
    <tableColumn id="7" xr3:uid="{3C4FEC10-2BEB-4EC0-AA98-F67CC8DBE5B5}" name="DP Bonus" dataDxfId="904"/>
    <tableColumn id="8" xr3:uid="{9CE669CC-5E7B-4E7B-8FFE-265EB626E935}" name="DP Mod" dataDxfId="903"/>
    <tableColumn id="9" xr3:uid="{7DE0C022-18E9-48B5-8835-9B63E8CC1CDF}" name="." dataDxfId="90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01" dataDxfId="899" headerRowBorderDxfId="900" tableBorderDxfId="898">
  <autoFilter ref="H47:J51" xr:uid="{86CCA094-2F84-4D6A-BB34-AED37B4839D4}">
    <filterColumn colId="0" hiddenButton="1"/>
    <filterColumn colId="1" hiddenButton="1"/>
    <filterColumn colId="2" hiddenButton="1"/>
  </autoFilter>
  <tableColumns count="3">
    <tableColumn id="1" xr3:uid="{E0152EC7-4145-4063-BAB4-B6301A014F4B}" name="Type" dataDxfId="897"/>
    <tableColumn id="2" xr3:uid="{FAE1A1FE-F8EC-48F0-A8AF-ADF4B1F44E93}" name="Raw" dataDxfId="896"/>
    <tableColumn id="3" xr3:uid="{AFD4C97E-F124-4CC9-8087-32A6EB65C3D5}" name="Modded" dataDxfId="89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94" dataDxfId="892" headerRowBorderDxfId="893" tableBorderDxfId="891">
  <autoFilter ref="H54:J57" xr:uid="{4A95BFF0-5AE4-4064-BA31-9F687E8E34BD}">
    <filterColumn colId="0" hiddenButton="1"/>
    <filterColumn colId="1" hiddenButton="1"/>
    <filterColumn colId="2" hiddenButton="1"/>
  </autoFilter>
  <tableColumns count="3">
    <tableColumn id="1" xr3:uid="{ACCDFB1C-E1AE-4F10-BB67-59F2B9780D01}" name="Hour" dataDxfId="890"/>
    <tableColumn id="2" xr3:uid="{277A266C-0AEF-4864-99C7-1E807FF68978}" name="Amount" dataDxfId="889"/>
    <tableColumn id="3" xr3:uid="{DD724D20-8039-4E15-A45D-F535D999ED97}" name="Without Training" dataDxfId="88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7" dataDxfId="886" totalsRowDxfId="884" tableBorderDxfId="88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83" totalsRowDxfId="882"/>
    <tableColumn id="2" xr3:uid="{739DBC51-BC77-4631-B107-088DC25245EB}" name="Amount" totalsRowFunction="sum" dataDxfId="881" totalsRowDxfId="880"/>
    <tableColumn id="3" xr3:uid="{41BF49B0-731E-480A-A25D-802B4380182E}" name="Relative" totalsRowFunction="custom" totalsRowDxfId="87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8" dataDxfId="877" tableBorderDxfId="876">
  <autoFilter ref="D46:F69" xr:uid="{6C8ACB43-975F-416A-A510-CF883452891C}">
    <filterColumn colId="0" hiddenButton="1"/>
    <filterColumn colId="1" hiddenButton="1"/>
    <filterColumn colId="2" hiddenButton="1"/>
  </autoFilter>
  <tableColumns count="3">
    <tableColumn id="1" xr3:uid="{97F6A0D7-4C71-45E8-A9DA-F3DBEC3693D1}" name="Acres" dataDxfId="875"/>
    <tableColumn id="2" xr3:uid="{70370623-AE12-4AC1-B3BC-5FA6F33097E0}" name=" " dataDxfId="874"/>
    <tableColumn id="3" xr3:uid="{76F2AA18-B160-4225-A8AB-03D1370169AB}" name="   " dataDxfId="87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72" dataDxfId="870" headerRowBorderDxfId="871" tableBorderDxfId="869">
  <autoFilter ref="D14:E18" xr:uid="{AF658822-94AE-4FD8-9D6D-E660E1B5C629}">
    <filterColumn colId="0" hiddenButton="1"/>
    <filterColumn colId="1" hiddenButton="1"/>
  </autoFilter>
  <tableColumns count="2">
    <tableColumn id="1" xr3:uid="{EFD90BA2-CBAC-4BDB-9434-40FB9C2485F4}" name="Date&amp;Time" dataDxfId="868"/>
    <tableColumn id="2" xr3:uid="{CCEF9A0F-7383-4941-A440-9E2452942487}" name="." dataDxfId="86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66" dataDxfId="865" totalsRowDxfId="864">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3" totalsRowDxfId="862">
      <calculatedColumnFormula>TblRezone[[#This Row],[Hour]]</calculatedColumnFormula>
    </tableColumn>
    <tableColumn id="2" xr3:uid="{7657952B-D9DB-46FC-BD8D-612DECDC04FD}" name="Time" dataDxfId="861" totalsRowDxfId="860">
      <calculatedColumnFormula>TblImps[[#This Row],[Time]]</calculatedColumnFormula>
    </tableColumn>
    <tableColumn id="3" xr3:uid="{767542B9-4E58-42E2-85BA-5C1DB6108363}" name="Peasants" dataDxfId="859" totalsRowDxfId="858">
      <calculatedColumnFormula>OFFSET(TblPop[[#This Row],[Peasants]],-1,0)+OFFSET(TblPop[[#This Row],[Net Peasant]],-1,0)+TblMili[[#This Row],[Release Draft]]</calculatedColumnFormula>
    </tableColumn>
    <tableColumn id="4" xr3:uid="{F5DC2705-5767-4AD0-A2E0-E36086D164C0}" name="Military" dataDxfId="857" totalsRowDxfId="856">
      <calculatedColumnFormula>TblMili[[#This Row],[Military]]</calculatedColumnFormula>
    </tableColumn>
    <tableColumn id="5" xr3:uid="{57E397CE-6C2C-48AE-9B2E-52E14099EAFC}" name="Draftees" dataDxfId="855" totalsRowDxfId="854">
      <calculatedColumnFormula>TblMili[[#This Row],[Draftees]]</calculatedColumnFormula>
    </tableColumn>
    <tableColumn id="6" xr3:uid="{7339086D-8AEE-45A5-B78D-EA6FDBA34E10}" name="Total" dataDxfId="853" totalsRowDxfId="852">
      <calculatedColumnFormula>TblPop[[#This Row],[Peasants]]+TblPop[[#This Row],[Military]]</calculatedColumnFormula>
    </tableColumn>
    <tableColumn id="7" xr3:uid="{75D92B6D-F4CA-42F7-80B3-4BF8A336E69C}" name="Military%" dataDxfId="851" totalsRowDxfId="850" dataCellStyle="Percent">
      <calculatedColumnFormula>TblPop[[#This Row],[Military]]/TblPop[[#This Row],[Total]]</calculatedColumnFormula>
    </tableColumn>
    <tableColumn id="8" xr3:uid="{257C6438-3205-4A45-9F91-ACD066CD59E8}" name="Employed" dataDxfId="849" totalsRowDxfId="848" dataCellStyle="Percent">
      <calculatedColumnFormula>MIN(TblPop[[#This Row],[Peasants]],TblPop[[#This Row],[Jobs]])</calculatedColumnFormula>
    </tableColumn>
    <tableColumn id="9" xr3:uid="{B05B6937-2C12-476B-B555-2A8ED6FF34EF}" name="Employment" dataDxfId="847" totalsRowDxfId="846" dataCellStyle="Percent">
      <calculatedColumnFormula>MIN(OFFSET(TblPop[[#This Row],[Jobs]],1,0)/TblPop[[#This Row],[Peasants]],1)</calculatedColumnFormula>
    </tableColumn>
    <tableColumn id="10" xr3:uid="{AD7F9BB7-A630-4BBB-AFEA-37B907196778}" name="Jobs" dataDxfId="845" totalsRowDxfId="844"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3" totalsRowDxfId="842" dataCellStyle="Percent"/>
    <tableColumn id="12" xr3:uid="{2EEFBFF9-40A4-412F-8FEC-C2F4799A06E6}" name=" Draftees" dataDxfId="841" totalsRowDxfId="840">
      <calculatedColumnFormula>TblPop[[#This Row],[Draftees]]</calculatedColumnFormula>
    </tableColumn>
    <tableColumn id="13" xr3:uid="{43729A62-E847-4DBB-BC42-62B1FB3DA7A5}" name="Unit 1" dataDxfId="839" totalsRowDxfId="838">
      <calculatedColumnFormula>TblMili[[#This Row],[Unit 1]]</calculatedColumnFormula>
    </tableColumn>
    <tableColumn id="14" xr3:uid="{C7A024F4-2376-4871-897D-90BEBEBC78B7}" name="Unit 2" dataDxfId="837" totalsRowDxfId="836">
      <calculatedColumnFormula>TblMili[[#This Row],[Unit 2]]</calculatedColumnFormula>
    </tableColumn>
    <tableColumn id="15" xr3:uid="{93EC8730-4D26-4E19-ADAA-3ED5C943F257}" name="Unit 3" dataDxfId="835" totalsRowDxfId="834">
      <calculatedColumnFormula>TblMili[[#This Row],[Unit 3]]</calculatedColumnFormula>
    </tableColumn>
    <tableColumn id="16" xr3:uid="{1A382ACC-9ED2-4A5E-BEE3-781B1DBCF186}" name="Unit 4" dataDxfId="833" totalsRowDxfId="832">
      <calculatedColumnFormula>TblMili[[#This Row],[Unit 4]]</calculatedColumnFormula>
    </tableColumn>
    <tableColumn id="17" xr3:uid="{491D1C19-D1B1-48C7-8FC6-BE77B7CD2635}" name="Spies" dataDxfId="831" totalsRowDxfId="830">
      <calculatedColumnFormula>TblMili[[#This Row],[Spies]]</calculatedColumnFormula>
    </tableColumn>
    <tableColumn id="18" xr3:uid="{1AF95FC5-21CD-41AC-A69F-CF5E9AF4AB85}" name="Wizards" dataDxfId="829" totalsRowDxfId="828">
      <calculatedColumnFormula>TblMili[[#This Row],[Wizards]]</calculatedColumnFormula>
    </tableColumn>
    <tableColumn id="19" xr3:uid="{C157D21E-FD58-4F24-A070-1819A7E2DA97}" name="Archmage" dataDxfId="827" totalsRowDxfId="826">
      <calculatedColumnFormula>TblMili[[#This Row],[Archmages]]</calculatedColumnFormula>
    </tableColumn>
    <tableColumn id="20" xr3:uid="{6BBFB632-E92F-4F29-AE3D-534C8288C615}" name=".." dataDxfId="825" totalsRowDxfId="824"/>
    <tableColumn id="21" xr3:uid="{59CAD00B-A8EE-455B-A015-E17ADF56A7B2}" name="Net max" dataDxfId="823" totalsRowDxfId="822">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21" totalsRowDxfId="820">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19" totalsRowDxfId="818">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17" totalsRowDxfId="816">
      <calculatedColumnFormula>ROUND(TblPop[[#This Row],[Raw Birth]]*(1+TblPop[[#This Row],[Growth]]),0)</calculatedColumnFormula>
    </tableColumn>
    <tableColumn id="25" xr3:uid="{26E60E7F-6DA3-49EF-99E8-26A0DAD2D630}" name="Raw Birth" dataDxfId="815" totalsRowDxfId="814">
      <calculatedColumnFormula>(TblPop[[#This Row],[Peasants]]-TblPop[[#This Row],[Draft Growth]])*raw_pop_growth</calculatedColumnFormula>
    </tableColumn>
    <tableColumn id="26" xr3:uid="{6E1274BE-772F-4747-A295-D51601B4FE11}" name="Draft Growth" dataDxfId="813" totalsRowDxfId="812">
      <calculatedColumnFormula>IF(TblPop[[#This Row],[Military%]]&lt;TblMili[[#This Row],[Draftrate]],ROUND(TblPop[[#This Row],[Peasants]]*Constants!$B$54,0), 0)</calculatedColumnFormula>
    </tableColumn>
    <tableColumn id="27" xr3:uid="{858CE2A0-AC9E-46FE-9A70-AED1578889CB}" name="...." dataDxfId="811" totalsRowDxfId="810"/>
    <tableColumn id="28" xr3:uid="{B271B9C7-94D1-498F-9FBB-69DF5F1BCE3F}" name="Growth" dataDxfId="809" totalsRowDxfId="808"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07" totalsRowDxfId="806"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5" dataDxfId="803" headerRowBorderDxfId="804" tableBorderDxfId="80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1"/>
    <tableColumn id="2" xr3:uid="{A509F8BB-FCD1-4951-8F3F-2AE2B32FB91D}" name="Time" dataDxfId="800">
      <calculatedColumnFormula>TblImps[[#This Row],[Time]]</calculatedColumnFormula>
    </tableColumn>
    <tableColumn id="3" xr3:uid="{BD173BCD-6C73-484D-BDFC-2CBFE8B32234}" name="Plat Bonus" dataDxfId="799"/>
    <tableColumn id="4" xr3:uid="{9A9B3DEC-EBEC-4801-BF4F-F90BBBCDF331}" name="." dataDxfId="798"/>
    <tableColumn id="5" xr3:uid="{6F9B5905-FA1D-4099-B9CC-6BE237355D58}" name="Land" dataDxfId="797">
      <calculatedColumnFormula>TblConstr[[#This Row],[Land]]</calculatedColumnFormula>
    </tableColumn>
    <tableColumn id="6" xr3:uid="{5ADA8DA4-36DC-4D4F-AE4E-76BDD26AF270}" name="Peasants" dataDxfId="796">
      <calculatedColumnFormula>TblPop[[#This Row],[Peasants]]</calculatedColumnFormula>
    </tableColumn>
    <tableColumn id="7" xr3:uid="{EE7F0FC7-4D30-4144-88EE-9A05AD7BF609}" name="Networth" dataDxfId="795">
      <calculatedColumnFormula>TblMili[[#This Row],[Networth (2)]]</calculatedColumnFormula>
    </tableColumn>
    <tableColumn id="8" xr3:uid="{F7B8E7A7-7AD4-4D83-8297-946670C39E55}" name="Platinum" dataDxfId="79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1">
      <calculatedColumnFormula>OFFSET(TblProd[[#This Row],[Mana]],-1,0)+OFFSET(TblProd[[#This Row],[Mana/hr]],-1,0)- TblProd[[#This Row],[Expenses Mana]]</calculatedColumnFormula>
    </tableColumn>
    <tableColumn id="12" xr3:uid="{C80C4246-7273-429F-BE79-86B1B4181061}" name="Ore" dataDxfId="790">
      <calculatedColumnFormula>OFFSET(TblProd[[#This Row],[Ore]],-1,0)+OFFSET(TblProd[[#This Row],[Ore/hr]],-1,0) -TblProd[[#This Row],[Expenses Ore]]</calculatedColumnFormula>
    </tableColumn>
    <tableColumn id="13" xr3:uid="{4174B9D9-5881-42F2-A514-2A7372C2B486}" name="Gems" dataDxfId="789">
      <calculatedColumnFormula>OFFSET(TblProd[[#This Row],[Gems]],-1,0)+OFFSET(TblProd[[#This Row],[Gems/hr]],-1,0) - TblProd[[#This Row],[Expenses Gems]]</calculatedColumnFormula>
    </tableColumn>
    <tableColumn id="14" xr3:uid="{C9DF5508-173B-4E9B-BD32-3313FC0AECA9}" name="Boats" dataDxfId="788">
      <calculatedColumnFormula>OFFSET(TblProd[[#This Row],[Boats]],-1,0)+OFFSET(TblProd[[#This Row],[Boats/hr]],-1,0)</calculatedColumnFormula>
    </tableColumn>
    <tableColumn id="15" xr3:uid="{C2EE37F5-4C79-4BD9-BE97-5B3BBB490CD3}" name="Prestige" dataDxfId="787">
      <calculatedColumnFormula>OFFSET(TblProd[[#This Row],[Prestige]],-1,0)</calculatedColumnFormula>
    </tableColumn>
    <tableColumn id="16" xr3:uid="{5EEA2772-71AB-4FF8-BF5F-D1D5B4044943}" name="Techpoints" dataDxfId="78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7">
      <calculatedColumnFormula>MAX(_xlfn.CEILING.MATH(TblProd[[#This Row],[Land]]*2.5+IFERROR(OFFSET(TblTech[[#This Row],[Sum of tech]],-1,0)*150,0)),3750)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(Construction!AZ5+Construction!BX5)*(alch_plat+(Magic!AM4&gt;0)*alchemist_flame_bonus)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OM]],1,0)*om_ore+IF(race="Dwarf",ROUNDDOWN(TblMili[[#This Row],[Unit 2]]/2,0),)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Row],[Towers]]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calculatedColumnFormula>
    </tableColumn>
    <tableColumn id="42" xr3:uid="{B67A5DCA-7223-49B6-A0AC-BE56416DEAB6}" name="Food eaten" dataDxfId="761">
      <calculatedColumnFormula>(1+race_food_consumption)*TblPop[[#This Row],[Total]]*food_per_person*(1+tech_1_10*TblTech[[#This Row],[1-10]]+tech_7_5*TblTech[[#This Row],[7-5]])</calculatedColumnFormula>
    </tableColumn>
    <tableColumn id="43" xr3:uid="{2D142E97-FF43-492A-B271-A145B85E0BF3}" name="Lumber rot" dataDxfId="760">
      <calculatedColumnFormula>TblProd[[#This Row],[Lumber]]*lumber_rot * (1 + tech_2_1*TblTech[[#This Row],[2-1]] + tech_2_8*TblTech[[#This Row],[2-8]] + tech_5_2*TblTech[[#This Row],[5-2]])</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Military!$CH$25*TblMili[[#This Row],[Sec. rec. Cost]]</calculatedColumnFormula>
    </tableColumn>
    <tableColumn id="48" xr3:uid="{3C88EFC6-8DA5-40ED-A97A-2AAFD0B3B6AD}" name="Expenses Mana" dataDxfId="755">
      <calculatedColumnFormula>TblMagic[[#This Row],[Mana cost]] + Military!$CH$26*TblMili[[#This Row],[Sec. rec. Cost]]</calculatedColumnFormula>
    </tableColumn>
    <tableColumn id="49" xr3:uid="{1E4E3815-206F-4A61-AE33-CA14E995FDCB}" name="Expenses Ore" dataDxfId="754">
      <calculatedColumnFormula>Military!$CH$24*TblMili[[#This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37" dataDxfId="735" totalsRowDxfId="733" headerRowBorderDxfId="736" tableBorderDxfId="734">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32" totalsRowDxfId="731">
      <calculatedColumnFormula>TblRezone[[#This Row],[Hour]]</calculatedColumnFormula>
    </tableColumn>
    <tableColumn id="1" xr3:uid="{16A4A80A-781E-4E74-BC12-3B194ED2F6BF}" name="Barren" dataDxfId="730" totalsRowDxfId="729">
      <calculatedColumnFormula>SUM(TblConstr[[#This Row],[Plain]:[Water]])</calculatedColumnFormula>
    </tableColumn>
    <tableColumn id="2" xr3:uid="{F83194BF-B786-4A33-B371-25BE7289AC68}" name="Buildings" dataDxfId="728" totalsRowDxfId="727">
      <calculatedColumnFormula>SUM(TblConstr[[#This Row],[Tot Hom]:[Tot Doc]])</calculatedColumnFormula>
    </tableColumn>
    <tableColumn id="3" xr3:uid="{343846C5-19E9-4357-B5DD-B105ACEC8C2C}" name="Incoming" dataDxfId="726" totalsRowDxfId="725"/>
    <tableColumn id="4" xr3:uid="{A20911DB-7155-4794-AD46-07AAD44BDAFE}" name="." dataDxfId="724" totalsRowDxfId="723"/>
    <tableColumn id="5" xr3:uid="{279706A5-BDE6-4F21-9D4E-93DD796722CB}" name="Land" dataDxfId="722" totalsRowDxfId="721">
      <calculatedColumnFormula>TblConstr[[#This Row],[Barren]]+TblConstr[[#This Row],[Buildings]]+TblConstr[[#This Row],[Incoming]]</calculatedColumnFormula>
    </tableColumn>
    <tableColumn id="6" xr3:uid="{8D16C913-6FBB-42B5-890E-7AA3F7D780F3}" name="Plain" dataDxfId="720" totalsRowDxfId="719">
      <calculatedColumnFormula>OFFSET(TblConstr[[#This Row],[Plain]],-1,0)+TblConstr[[#This Row],[Ch_Plain]]</calculatedColumnFormula>
    </tableColumn>
    <tableColumn id="7" xr3:uid="{ECABDC59-2CFA-4924-832F-64BD947684FE}" name="Forest" dataDxfId="718" totalsRowDxfId="717">
      <calculatedColumnFormula>OFFSET(TblConstr[[#This Row],[Forest]],-1,0)+TblConstr[[#This Row],[Ch_Forest]]</calculatedColumnFormula>
    </tableColumn>
    <tableColumn id="8" xr3:uid="{AD888BC9-7B2A-431B-912B-F76B183C4BC2}" name="Mountain" dataDxfId="716" totalsRowDxfId="715">
      <calculatedColumnFormula>OFFSET(TblConstr[[#This Row],[Mountain]],-1,0)+TblConstr[[#This Row],[Ch_Mountain]]</calculatedColumnFormula>
    </tableColumn>
    <tableColumn id="9" xr3:uid="{B9F107CC-9E87-47F0-9669-7B4E32869962}" name="Hill" dataDxfId="714" totalsRowDxfId="713">
      <calculatedColumnFormula>OFFSET(TblConstr[[#This Row],[Hill]],-1,0)+TblConstr[[#This Row],[Ch_Hill]]</calculatedColumnFormula>
    </tableColumn>
    <tableColumn id="10" xr3:uid="{8067675A-D7AC-461C-B5B4-B2FDA278D46E}" name="Swamp" dataDxfId="712" totalsRowDxfId="711">
      <calculatedColumnFormula>OFFSET(TblConstr[[#This Row],[Swamp]],-1,0)+TblConstr[[#This Row],[Ch_Swamp]]</calculatedColumnFormula>
    </tableColumn>
    <tableColumn id="11" xr3:uid="{F6E4B820-D719-41FF-A537-55FE6AFBAF0E}" name="Cavern" dataDxfId="710" totalsRowDxfId="709">
      <calculatedColumnFormula>OFFSET(TblConstr[[#This Row],[Cavern]],-1,0)+TblConstr[[#This Row],[Ch_Cavern]]</calculatedColumnFormula>
    </tableColumn>
    <tableColumn id="12" xr3:uid="{54552E9E-E771-4104-87F6-20952C6A2D90}" name="Water" dataDxfId="708" totalsRowDxfId="707">
      <calculatedColumnFormula>OFFSET(TblConstr[[#This Row],[Water]],-1,0)+TblConstr[[#This Row],[Ch_Water]]</calculatedColumnFormula>
    </tableColumn>
    <tableColumn id="112" xr3:uid="{68F0FBE6-EBED-4B66-81D6-A19DB934C48D}" name="Hour  " dataDxfId="706" totalsRowDxfId="705">
      <calculatedColumnFormula>TblRezone[[#This Row],[Hour]]</calculatedColumnFormula>
    </tableColumn>
    <tableColumn id="14" xr3:uid="{6A739C2B-FED1-46DE-A6EC-2761E132E225}" name="Hom" dataDxfId="704" totalsRowDxfId="703"/>
    <tableColumn id="15" xr3:uid="{E50EB7D2-A060-4B91-920B-B3335EF23400}" name="Alc" dataDxfId="702" totalsRowDxfId="701"/>
    <tableColumn id="16" xr3:uid="{E3F8F390-578A-46F4-8079-68503504AE5A}" name="Far" dataDxfId="700" totalsRowDxfId="699"/>
    <tableColumn id="17" xr3:uid="{CC502929-3E3E-483C-AA45-1E8DC6E6F788}" name="Smi" dataDxfId="698" totalsRowDxfId="697"/>
    <tableColumn id="18" xr3:uid="{2849017C-83D2-48CF-BAFC-E8180F6B87B3}" name="Mas" dataDxfId="696" totalsRowDxfId="695"/>
    <tableColumn id="19" xr3:uid="{902080F0-045E-460C-8A94-D28082F0684A}" name="Ly" dataDxfId="694" totalsRowDxfId="693"/>
    <tableColumn id="20" xr3:uid="{74F11359-7A83-40C9-8D72-4E7342A4C5F6}" name="Hav" dataDxfId="692" totalsRowDxfId="691"/>
    <tableColumn id="21" xr3:uid="{2F4CD982-1BA1-4887-BEEF-D1CEDDFDCD98}" name="OM" dataDxfId="690" totalsRowDxfId="689"/>
    <tableColumn id="22" xr3:uid="{8FB86139-1373-407A-B799-7C5D49EF3A26}" name="GN" dataDxfId="688" totalsRowDxfId="687"/>
    <tableColumn id="23" xr3:uid="{283576BE-DC2F-4C4A-B83A-40303ED03A64}" name="Fac" dataDxfId="686" totalsRowDxfId="685"/>
    <tableColumn id="24" xr3:uid="{5CFB0CBF-3773-41F6-9B86-E1678AA28900}" name="GT" dataDxfId="684" totalsRowDxfId="683"/>
    <tableColumn id="25" xr3:uid="{19E4F682-9015-4478-9312-A3022D1FEEE9}" name="Bar" dataDxfId="682" totalsRowDxfId="681"/>
    <tableColumn id="26" xr3:uid="{013252D4-D385-4331-9170-92B5C8BB4C64}" name="Shr" dataDxfId="680" totalsRowDxfId="679"/>
    <tableColumn id="27" xr3:uid="{D4B27941-E688-419F-8B6F-B73F6CF2AB5B}" name="Tow" dataDxfId="678" totalsRowDxfId="677"/>
    <tableColumn id="28" xr3:uid="{17047BB4-364B-45DB-830B-858C7BD30B39}" name="Tem" dataDxfId="676" totalsRowDxfId="675"/>
    <tableColumn id="29" xr3:uid="{8910E8E2-8D7F-45E2-8559-CB4F40D25EB8}" name="WG" dataDxfId="674" totalsRowDxfId="673"/>
    <tableColumn id="30" xr3:uid="{BDAAD77D-88DB-4E61-9C07-44CAE4913F4B}" name="DM" dataDxfId="672" totalsRowDxfId="671"/>
    <tableColumn id="31" xr3:uid="{BFDB5F50-9A23-4E21-AEF0-8F150174C5D9}" name="Sch" dataDxfId="670" totalsRowDxfId="669"/>
    <tableColumn id="32" xr3:uid="{F4596035-B7F8-4B94-9B36-37B190EBF2F5}" name="Doc" dataDxfId="668" totalsRowDxfId="667"/>
    <tableColumn id="33" xr3:uid="{B506678F-5C96-41A2-B16E-01903002457C}" name="time" dataDxfId="666" totalsRowDxfId="665">
      <calculatedColumnFormula>TblImps[[#This Row],[Time]]</calculatedColumnFormula>
    </tableColumn>
    <tableColumn id="34" xr3:uid="{BBF9E4A7-4AD1-4256-838E-84E222A5E5B5}" name="Facs -DB" dataDxfId="664" totalsRowDxfId="663" dataCellStyle="Percent">
      <calculatedColumnFormula>MIN(25%,(TblConstr[[#This Row],[Tot Fac]]+TblConstr[[#This Row],[Dest Fac]])/(TblConstr[[#This Row],[Land]]-TblExplore[[#This Row],[Land Bonus]]*20))</calculatedColumnFormula>
    </tableColumn>
    <tableColumn id="35" xr3:uid="{CE9651FB-E7AA-4AC3-9369-D03ACA26B669}" name="Facs DB" dataDxfId="662" totalsRowDxfId="661" dataCellStyle="Percent">
      <calculatedColumnFormula>MIN(25%,(TblConstr[[#This Row],[Tot Fac]]+TblConstr[[#This Row],[Dest Fac]])/TblConstr[[#This Row],[Land]])</calculatedColumnFormula>
    </tableColumn>
    <tableColumn id="36" xr3:uid="{09991F89-DEAA-4698-A25A-D13F6565EDD4}" name="Platinum" dataDxfId="660" totalsRowDxfId="659">
      <calculatedColumnFormula>TblProd[[#This Row],[Platinum]]</calculatedColumnFormula>
    </tableColumn>
    <tableColumn id="37" xr3:uid="{98B47891-EB31-4D7F-8AC4-80255A877681}" name="Lumber" dataDxfId="658" totalsRowDxfId="657">
      <calculatedColumnFormula>TblProd[[#This Row],[Lumber]]</calculatedColumnFormula>
    </tableColumn>
    <tableColumn id="38" xr3:uid="{4BCC987F-ABDB-4939-B66E-9E39DDB56076}" name="CPA Platinum -DB" dataDxfId="656" totalsRowDxfId="655">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54" totalsRowDxfId="653">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52" totalsRowDxfId="651">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50" totalsRowDxfId="649">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48" totalsRowDxfId="647">
      <calculatedColumnFormula>TblConstr[[#This Row],[build -db]]*TblConstr[[#This Row],[CPA Platinum -DB]] + TblConstr[[#This Row],[build db]]*TblConstr[[#This Row],[CPA Platinum DB]]</calculatedColumnFormula>
    </tableColumn>
    <tableColumn id="43" xr3:uid="{F2E3CBCF-A243-4043-87E8-17546293A159}" name="Total Lum Cost" dataDxfId="646" totalsRowDxfId="645">
      <calculatedColumnFormula>TblConstr[[#This Row],[build -db]]*TblConstr[[#This Row],[CPA Lumber -DB]]+TblConstr[[#This Row],[build db]]*TblConstr[[#This Row],[CPA Lumber DB]]</calculatedColumnFormula>
    </tableColumn>
    <tableColumn id="44" xr3:uid="{119F0A26-AFE5-4C99-86DF-E2019D697B1F}" name="build -db" dataDxfId="644" totalsRowDxfId="643">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42" totalsRowDxfId="641">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40" totalsRowDxfId="639"/>
    <tableColumn id="47" xr3:uid="{2AB27BA8-C2B6-44FC-89D1-B8C469C03A31}" name="RCPA Platinum " dataDxfId="638" totalsRowDxfId="637">
      <calculatedColumnFormula>ROUND((TblConstr[[#This Row],[Land]]-250 - IF(TblExplore[[#This Row],[Land Bonus]]&lt;&gt;0,20,0))*1.25 + 850 + 0,0)</calculatedColumnFormula>
    </tableColumn>
    <tableColumn id="48" xr3:uid="{745E4D31-3689-4F62-A15B-2D5399E746CA}" name="RCPA Lumber" dataDxfId="636">
      <calculatedColumnFormula>ROUND((TblConstr[[#This Row],[Land]]-250 - IF(TblExplore[[#This Row],[Land Bonus]]&lt;&gt;0,20,0))*0.285 + 87.5 + 0/4.25,0)</calculatedColumnFormula>
    </tableColumn>
    <tableColumn id="49" xr3:uid="{619C112A-EE5A-4710-AF52-5843FF4DB054}" name="…" dataDxfId="635" totalsRowDxfId="634"/>
    <tableColumn id="50" xr3:uid="{F2846ED2-FD2C-4B82-8D89-DEC4D6C89C45}" name="Tot Hom" dataDxfId="633" totalsRowDxfId="632">
      <calculatedColumnFormula array="1">IF(TblConstr[[#This Row],[Hour]:[Hour]]&gt;12,OFFSET(TblConstr[[#This Row],[Hom]],-12,0),0)+OFFSET(TblConstr[[#This Row],[Tot Hom]],-1,0)-TblConstr[[#This Row],[Dest Hom]]</calculatedColumnFormula>
    </tableColumn>
    <tableColumn id="51" xr3:uid="{3A820279-E5AD-460C-8EA2-56927C664532}" name="Tot Alc" dataDxfId="631" totalsRowDxfId="630">
      <calculatedColumnFormula array="1">IF(TblConstr[[#This Row],[Hour]:[Hour]]&gt;12,OFFSET(TblConstr[[#This Row],[Alc]],-12,0),0)+OFFSET(TblConstr[[#This Row],[Tot Alc]],-1,0)-TblConstr[[#This Row],[Dest Alc]]</calculatedColumnFormula>
    </tableColumn>
    <tableColumn id="52" xr3:uid="{2F201F1F-E604-470C-A21C-EF43882A5460}" name="Tot Farm" dataDxfId="629" totalsRowDxfId="628">
      <calculatedColumnFormula array="1">IF(TblConstr[[#This Row],[Hour]:[Hour]]&gt;12,OFFSET(TblConstr[[#This Row],[Far]],-12,0),0)+OFFSET(TblConstr[[#This Row],[Tot Farm]],-1,0)-TblConstr[[#This Row],[Dest Farm]]</calculatedColumnFormula>
    </tableColumn>
    <tableColumn id="53" xr3:uid="{CF25F1ED-4CEE-4702-9FD7-472555CAE1E7}" name="Tot Smi" dataDxfId="627" totalsRowDxfId="626">
      <calculatedColumnFormula array="1">IF(TblConstr[[#This Row],[Hour]:[Hour]]&gt;12,OFFSET(TblConstr[[#This Row],[Smi]],-12,0),0)+OFFSET(TblConstr[[#This Row],[Tot Smi]],-1,0)-TblConstr[[#This Row],[Dest Smi]]</calculatedColumnFormula>
    </tableColumn>
    <tableColumn id="54" xr3:uid="{AA2380E5-3483-49DB-91B7-F7447D6C17A7}" name="Tot Mas" dataDxfId="625" totalsRowDxfId="624">
      <calculatedColumnFormula array="1">IF(TblConstr[[#This Row],[Hour]:[Hour]]&gt;12,OFFSET(TblConstr[[#This Row],[Mas]],-12,0),0)+OFFSET(TblConstr[[#This Row],[Tot Mas]],-1,0)-TblConstr[[#This Row],[Dest Mas]]</calculatedColumnFormula>
    </tableColumn>
    <tableColumn id="55" xr3:uid="{9983477D-EC22-4053-88C9-D53436C89351}" name="Tot Ly" dataDxfId="623" totalsRowDxfId="622">
      <calculatedColumnFormula array="1">IF(TblConstr[[#This Row],[Hour]:[Hour]]&gt;12,OFFSET(TblConstr[[#This Row],[Ly]],-12,0),0)+OFFSET(TblConstr[[#This Row],[Tot Ly]],-1,0)-TblConstr[[#This Row],[Dest Ly]]</calculatedColumnFormula>
    </tableColumn>
    <tableColumn id="56" xr3:uid="{0A8A610F-D674-4772-9EB7-EC610164DF60}" name="Tot Hav" dataDxfId="621" totalsRowDxfId="620">
      <calculatedColumnFormula array="1">IF(TblConstr[[#This Row],[Hour]:[Hour]]&gt;12,OFFSET(TblConstr[[#This Row],[Hav]],-12,0),0)+OFFSET(TblConstr[[#This Row],[Tot Hav]],-1,0)-TblConstr[[#This Row],[Dest Hav]]</calculatedColumnFormula>
    </tableColumn>
    <tableColumn id="57" xr3:uid="{40570349-3AA5-42B4-9820-CC736C2D1B3D}" name="Tot OM" dataDxfId="619" totalsRowDxfId="618">
      <calculatedColumnFormula array="1">IF(TblConstr[[#This Row],[Hour]:[Hour]]&gt;12,OFFSET(TblConstr[[#This Row],[OM]],-12,0),0)+OFFSET(TblConstr[[#This Row],[Tot OM]],-1,0)-TblConstr[[#This Row],[Dest OM]]</calculatedColumnFormula>
    </tableColumn>
    <tableColumn id="58" xr3:uid="{D7C1895E-C93F-4CEE-BB20-88F13C3DA864}" name="Tot GN" dataDxfId="617" totalsRowDxfId="616">
      <calculatedColumnFormula array="1">IF(TblConstr[[#This Row],[Hour]:[Hour]]&gt;12,OFFSET(TblConstr[[#This Row],[GN]],-12,0),0)+OFFSET(TblConstr[[#This Row],[Tot GN]],-1,0)-TblConstr[[#This Row],[Dest GN]]</calculatedColumnFormula>
    </tableColumn>
    <tableColumn id="59" xr3:uid="{6C106580-CB33-4C2F-8B4D-856AC68AA85B}" name="Tot Fac" dataDxfId="615" totalsRowDxfId="614">
      <calculatedColumnFormula array="1">IF(TblConstr[[#This Row],[Hour]:[Hour]]&gt;12,OFFSET(TblConstr[[#This Row],[Fac]],-12,0),0)+OFFSET(TblConstr[[#This Row],[Tot Fac]],-1,0)-TblConstr[[#This Row],[Dest Fac]]</calculatedColumnFormula>
    </tableColumn>
    <tableColumn id="60" xr3:uid="{D3A39C76-EE6D-4C40-B64E-12EE496ACF75}" name="Tot GT" dataDxfId="613" totalsRowDxfId="612">
      <calculatedColumnFormula array="1">IF(TblConstr[[#This Row],[Hour]:[Hour]]&gt;12,OFFSET(TblConstr[[#This Row],[GT]],-12,0),0)+OFFSET(TblConstr[[#This Row],[Tot GT]],-1,0)-TblConstr[[#This Row],[Dest GT]]</calculatedColumnFormula>
    </tableColumn>
    <tableColumn id="61" xr3:uid="{3C88629E-DBB8-4626-8826-42DE21B8CCF3}" name="Tot Bar" dataDxfId="611" totalsRowDxfId="610">
      <calculatedColumnFormula array="1">IF(TblConstr[[#This Row],[Hour]:[Hour]]&gt;12,OFFSET(TblConstr[[#This Row],[Bar]],-12,0),0)+OFFSET(TblConstr[[#This Row],[Tot Bar]],-1,0)-TblConstr[[#This Row],[Dest Bar]]</calculatedColumnFormula>
    </tableColumn>
    <tableColumn id="62" xr3:uid="{9B339DEA-0599-4758-9D02-2BCE3EA7ACC3}" name="Tot Shr" dataDxfId="609" totalsRowDxfId="608">
      <calculatedColumnFormula array="1">IF(TblConstr[[#This Row],[Hour]:[Hour]]&gt;12,OFFSET(TblConstr[[#This Row],[Shr]],-12,0),0)+OFFSET(TblConstr[[#This Row],[Tot Shr]],-1,0)-TblConstr[[#This Row],[Dest Shr]]</calculatedColumnFormula>
    </tableColumn>
    <tableColumn id="63" xr3:uid="{BC8AAD30-881D-4FF0-9567-7FF1D9791913}" name="Tot Tow" dataDxfId="607" totalsRowDxfId="606">
      <calculatedColumnFormula array="1">IF(TblConstr[[#This Row],[Hour]:[Hour]]&gt;12,OFFSET(TblConstr[[#This Row],[Tow]],-12,0),0)+OFFSET(TblConstr[[#This Row],[Tot Tow]],-1,0)-TblConstr[[#This Row],[Dest Tow]]</calculatedColumnFormula>
    </tableColumn>
    <tableColumn id="64" xr3:uid="{59A3F80D-5052-4FDF-AF65-62DB182FD6A6}" name="Tot Tem" dataDxfId="605" totalsRowDxfId="604">
      <calculatedColumnFormula array="1">IF(TblConstr[[#This Row],[Hour]:[Hour]]&gt;12,OFFSET(TblConstr[[#This Row],[Tem]],-12,0),0)+OFFSET(TblConstr[[#This Row],[Tot Tem]],-1,0)-TblConstr[[#This Row],[Dest Tem]]</calculatedColumnFormula>
    </tableColumn>
    <tableColumn id="65" xr3:uid="{00A352BB-E75B-4E3F-AC3D-1D0DC0813148}" name="Tot WG" dataDxfId="603" totalsRowDxfId="602">
      <calculatedColumnFormula array="1">IF(TblConstr[[#This Row],[Hour]:[Hour]]&gt;12,OFFSET(TblConstr[[#This Row],[WG]],-12,0),0)+OFFSET(TblConstr[[#This Row],[Tot WG]],-1,0)-TblConstr[[#This Row],[Dest WG]]</calculatedColumnFormula>
    </tableColumn>
    <tableColumn id="66" xr3:uid="{AC79E3B7-8BF6-4AEF-AACC-9BCCADEEE9EC}" name="Tot DM" dataDxfId="601" totalsRowDxfId="600">
      <calculatedColumnFormula array="1">IF(TblConstr[[#This Row],[Hour]:[Hour]]&gt;12,OFFSET(TblConstr[[#This Row],[DM]],-12,0),0)+OFFSET(TblConstr[[#This Row],[Tot DM]],-1,0)-TblConstr[[#This Row],[Dest DM]]</calculatedColumnFormula>
    </tableColumn>
    <tableColumn id="67" xr3:uid="{0CFFF054-0F8D-4B14-9366-77ABD3382DE4}" name="Tot Sch" dataDxfId="599" totalsRowDxfId="598">
      <calculatedColumnFormula array="1">IF(TblConstr[[#This Row],[Hour]:[Hour]]&gt;12,OFFSET(TblConstr[[#This Row],[Sch]],-12,0),0)+OFFSET(TblConstr[[#This Row],[Tot Sch]],-1,0)-TblConstr[[#This Row],[Dest Sch]]</calculatedColumnFormula>
    </tableColumn>
    <tableColumn id="68" xr3:uid="{EEBD7864-CCF1-4E52-A4D7-93474D156483}" name="Tot Doc" dataDxfId="597" totalsRowDxfId="596">
      <calculatedColumnFormula array="1">IF(TblConstr[[#This Row],[Hour]:[Hour]]&gt;12,OFFSET(TblConstr[[#This Row],[Doc]],-12,0),0)+OFFSET(TblConstr[[#This Row],[Tot Doc]],-1,0)-TblConstr[[#This Row],[Dest Doc]]</calculatedColumnFormula>
    </tableColumn>
    <tableColumn id="69" xr3:uid="{9CB7D1EC-8231-4E29-AF89-78480EAACCBE}" name="…." dataDxfId="595" totalsRowDxfId="594"/>
    <tableColumn id="70" xr3:uid="{8AB60EC6-2503-4C64-93B5-EF0A15817646}" name="….." dataDxfId="593" totalsRowDxfId="592"/>
    <tableColumn id="71" xr3:uid="{E322C618-2AF7-4E39-8C00-05DB78D1E3E1}" name="Land (2)" dataDxfId="591" totalsRowDxfId="590">
      <calculatedColumnFormula>TblConstr[[#This Row],[Land]]</calculatedColumnFormula>
    </tableColumn>
    <tableColumn id="72" xr3:uid="{03634B5C-154E-4AC8-80E1-BA13BC9D96CD}" name="Time (2)" dataDxfId="589" totalsRowDxfId="588">
      <calculatedColumnFormula>TblImps[[#This Row],[Time]]</calculatedColumnFormula>
    </tableColumn>
    <tableColumn id="73" xr3:uid="{B2BF9056-6EBE-4C01-A8BD-B72B49E563E4}" name="…..." dataDxfId="587" totalsRowDxfId="586"/>
    <tableColumn id="74" xr3:uid="{E1DF0DF3-108E-4B1D-AD0D-B0438E0119B4}" name="Dest Hom" dataDxfId="585" totalsRowDxfId="584"/>
    <tableColumn id="75" xr3:uid="{E9A56C16-CD83-4CF4-801D-3F07F7F4410E}" name="Dest Alc" dataDxfId="583" totalsRowDxfId="582"/>
    <tableColumn id="76" xr3:uid="{83CFBDA2-FADE-4B08-B33E-9C2E9F9BF768}" name="Dest Farm" dataDxfId="581" totalsRowDxfId="580"/>
    <tableColumn id="77" xr3:uid="{19187257-0444-44F4-9D3D-6D0323F40019}" name="Dest Smi" dataDxfId="579" totalsRowDxfId="578"/>
    <tableColumn id="78" xr3:uid="{868AFE18-6FA1-48AB-ABF5-2F2AEFE5F988}" name="Dest Mas" dataDxfId="577" totalsRowDxfId="576"/>
    <tableColumn id="79" xr3:uid="{177B6B53-2F11-4209-8387-13A45749227F}" name="Dest Ly" dataDxfId="575" totalsRowDxfId="574"/>
    <tableColumn id="80" xr3:uid="{7546C506-76A9-4C40-A0E7-9A9D9E5AABE5}" name="Dest Hav" dataDxfId="573" totalsRowDxfId="572"/>
    <tableColumn id="81" xr3:uid="{ADDB86A6-E781-4DBE-8117-6F690916DDFA}" name="Dest OM" dataDxfId="571" totalsRowDxfId="570"/>
    <tableColumn id="82" xr3:uid="{B9BF98EC-18BF-465D-9531-8B38D89E91A0}" name="Dest GN" dataDxfId="569" totalsRowDxfId="568"/>
    <tableColumn id="83" xr3:uid="{E7A6D253-F3B2-42C8-99DD-B144C58FC0C5}" name="Dest Fac" dataDxfId="567" totalsRowDxfId="566"/>
    <tableColumn id="84" xr3:uid="{17104BBD-FC27-4D10-B29C-0273D3241FF4}" name="Dest GT" dataDxfId="565" totalsRowDxfId="564"/>
    <tableColumn id="85" xr3:uid="{99559D62-4D78-440A-98FE-DEBB129B435F}" name="Dest Bar" dataDxfId="563" totalsRowDxfId="562"/>
    <tableColumn id="86" xr3:uid="{9B2EEB8C-2FE8-47EE-A3E2-DC10DB45C7AB}" name="Dest Shr" dataDxfId="561" totalsRowDxfId="560"/>
    <tableColumn id="87" xr3:uid="{514D2AAA-E6E3-475E-9F65-8C732A78896D}" name="Dest Tow" dataDxfId="559" totalsRowDxfId="558"/>
    <tableColumn id="88" xr3:uid="{FAB7F148-62FD-4A01-9E52-E72AB5D98A80}" name="Dest Tem" dataDxfId="557" totalsRowDxfId="556"/>
    <tableColumn id="89" xr3:uid="{51F0AAF8-EA25-41BB-8274-29128D8E9309}" name="Dest WG" dataDxfId="555" totalsRowDxfId="554"/>
    <tableColumn id="90" xr3:uid="{B5DD0E4A-F9DA-46DF-AC1D-4C082F96D4FD}" name="Dest DM" dataDxfId="553" totalsRowDxfId="552"/>
    <tableColumn id="91" xr3:uid="{8374E536-FAFB-4695-B2E9-40E6A61A9D8E}" name="Dest Sch" dataDxfId="551" totalsRowDxfId="550"/>
    <tableColumn id="92" xr3:uid="{AB6E075B-E076-40E6-B2ED-7DBD5C2545B9}" name="Dest Doc" dataDxfId="549" totalsRowDxfId="548"/>
    <tableColumn id="93" xr3:uid="{A4B6EEF5-D4D4-4B9E-B020-F892CB1DC5F1}" name="…...." dataDxfId="547" totalsRowDxfId="546"/>
    <tableColumn id="94" xr3:uid="{A8785F66-A063-4182-BB5F-F2E489C44B8C}" name="Ch_Plain" dataDxfId="545" totalsRowDxfId="544">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43" totalsRowDxfId="542">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41" totalsRowDxfId="540">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39" totalsRowDxfId="538">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37" totalsRowDxfId="536">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35" totalsRowDxfId="534">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33" totalsRowDxfId="532">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31" totalsRowDxfId="530">
      <calculatedColumnFormula>IF(Explore!S4=1,20) - TblConstr[[#This Row],[Hom]] + TblConstr[[#This Row],[Dest Hom]]</calculatedColumnFormula>
    </tableColumn>
    <tableColumn id="102" xr3:uid="{A18B5339-7B5E-4FF1-B44C-54D91E2619B1}" name="…....." dataDxfId="529" totalsRowDxfId="528"/>
    <tableColumn id="103" xr3:uid="{4E3EEDB6-D8CB-4DA1-AC9F-29019C9A6FFC}" name="Total Plain" dataDxfId="527" totalsRowDxfId="526"/>
    <tableColumn id="104" xr3:uid="{669C7BA0-B3F2-47DA-B10D-81C2466FF6F3}" name="Total Forest" dataDxfId="525" totalsRowDxfId="524"/>
    <tableColumn id="105" xr3:uid="{B6EE778A-6E52-44FF-8691-B86F1650C2C2}" name="Total Mountain" dataDxfId="523" totalsRowDxfId="522"/>
    <tableColumn id="106" xr3:uid="{5FF89BD6-7921-4110-AD96-EA8B54555F1C}" name="Total Hill" dataDxfId="521" totalsRowDxfId="520"/>
    <tableColumn id="107" xr3:uid="{F920559E-5C73-4899-BC53-A9BA9E7DFC0C}" name="Total Swamp" dataDxfId="519" totalsRowDxfId="518"/>
    <tableColumn id="108" xr3:uid="{6462BCCF-F375-4DEC-B000-637E1187AA5E}" name="Total Cavern" dataDxfId="517" totalsRowDxfId="516"/>
    <tableColumn id="109" xr3:uid="{D966B8E0-E2CD-4374-AF05-B86C330B3BD4}" name="Total Water" dataDxfId="515" totalsRowDxfId="514"/>
    <tableColumn id="110" xr3:uid="{170A4E12-F563-448F-8964-EB5CA71BA3AF}" name="Homeland" dataDxfId="513" totalsRowDxfId="512">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511" totalsRowDxfId="510"/>
    <tableColumn id="114" xr3:uid="{EDC1B5E1-1E93-4946-BEC7-453EF5B18C9F}" name="Farms" dataDxfId="509" totalsRowDxfId="508">
      <calculatedColumnFormula>MAX(BA4-BA3,0)</calculatedColumnFormula>
    </tableColumn>
    <tableColumn id="115" xr3:uid="{1D02A65C-E8F6-4B66-A5EB-3699A9BE61C5}" name="Docks" totalsRowFunction="sum" dataDxfId="507" totalsRowDxfId="506">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505" dataDxfId="504" tableBorderDxfId="503">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502">
      <calculatedColumnFormula>TblRezone[[#This Row],[Hour]]</calculatedColumnFormula>
    </tableColumn>
    <tableColumn id="2" xr3:uid="{DFB120B6-BC70-4091-A005-99D4961CB538}" name="Land" dataDxfId="501">
      <calculatedColumnFormula>TblConstr[[#This Row],[Land]]</calculatedColumnFormula>
    </tableColumn>
    <tableColumn id="3" xr3:uid="{05C32193-1764-4A8E-B877-789E51BD1927}" name="." dataDxfId="500"/>
    <tableColumn id="4" xr3:uid="{2DBA3229-29BD-4F1F-B6CD-9E822C9071D7}" name="Plains" dataDxfId="499">
      <calculatedColumnFormula>TblConstr[[#This Row],[Plain]]</calculatedColumnFormula>
    </tableColumn>
    <tableColumn id="5" xr3:uid="{3D1FE633-D61E-4157-92AE-5E68F0C48770}" name="Forest" dataDxfId="498">
      <calculatedColumnFormula>TblConstr[[#This Row],[Forest]]</calculatedColumnFormula>
    </tableColumn>
    <tableColumn id="6" xr3:uid="{D9ABEDC6-9211-428A-B587-3CA9C3BF9744}" name="Mountn" dataDxfId="497">
      <calculatedColumnFormula>TblConstr[[#This Row],[Mountain]]</calculatedColumnFormula>
    </tableColumn>
    <tableColumn id="7" xr3:uid="{190BAA64-9D9E-4080-878D-BF035387620E}" name="Hills" dataDxfId="496">
      <calculatedColumnFormula>TblConstr[[#This Row],[Hill]]</calculatedColumnFormula>
    </tableColumn>
    <tableColumn id="8" xr3:uid="{812744CE-DEB7-4A8A-8374-CD5852E8C168}" name="Swamp" dataDxfId="495">
      <calculatedColumnFormula>TblConstr[[#This Row],[Swamp]]</calculatedColumnFormula>
    </tableColumn>
    <tableColumn id="9" xr3:uid="{96D79F63-015A-4655-975B-A1C99185A034}" name="Caverns" dataDxfId="494">
      <calculatedColumnFormula>TblConstr[[#This Row],[Cavern]]</calculatedColumnFormula>
    </tableColumn>
    <tableColumn id="10" xr3:uid="{607DA3E5-8D4A-44F4-A35C-DDAF32BE627C}" name="Water" dataDxfId="493">
      <calculatedColumnFormula>TblConstr[[#This Row],[Water]]</calculatedColumnFormula>
    </tableColumn>
    <tableColumn id="11" xr3:uid="{12EC2AC2-5FD3-4D82-8C37-DB70DCC56DC2}" name="Column2" dataDxfId="492"/>
    <tableColumn id="12" xr3:uid="{B171FE82-C8DE-44A1-89CE-409ED8DDD9D4}" name="Column3" dataDxfId="491"/>
    <tableColumn id="13" xr3:uid="{8C0085EE-E99F-4C98-9D66-144A50E3623C}" name="Column4" dataDxfId="490"/>
    <tableColumn id="14" xr3:uid="{5686D8FB-FF86-4148-AF9E-C03A97A84AF3}" name="Smithies" dataDxfId="489" dataCellStyle="Percent">
      <calculatedColumnFormula>TblMili[[#This Row],[Smithies]]</calculatedColumnFormula>
    </tableColumn>
    <tableColumn id="15" xr3:uid="{A0DC0A41-1987-4EE6-99BA-624DB6ACB9BF}" name="Employm." dataDxfId="488" dataCellStyle="Percent">
      <calculatedColumnFormula>TblPop[[#This Row],[Employment]]</calculatedColumnFormula>
    </tableColumn>
    <tableColumn id="16" xr3:uid="{7B85DEA6-C72D-4EAB-B18F-155B3A80E27B}" name="Popul." dataDxfId="487" dataCellStyle="Percent">
      <calculatedColumnFormula>TblImps[[#This Row],[Population]]</calculatedColumnFormula>
    </tableColumn>
    <tableColumn id="17" xr3:uid="{0BE33934-A790-4489-A3A2-E553E3C4AAEE}" name="Land (2)" dataDxfId="486">
      <calculatedColumnFormula>TblExplore[[#This Row],[Land]]</calculatedColumnFormula>
    </tableColumn>
    <tableColumn id="18" xr3:uid="{1EE849E8-6296-4479-BDA2-30E4622212E0}" name="Hour (2)" dataDxfId="485">
      <calculatedColumnFormula>TblExplore[[#This Row],[Hour]]</calculatedColumnFormula>
    </tableColumn>
    <tableColumn id="19" xr3:uid="{802EC67C-58E0-4E2B-9471-52B76B3F516A}" name="Land Bonus" dataDxfId="484"/>
    <tableColumn id="20" xr3:uid="{B1DC4E54-695A-4FE1-A303-67B047732E38}" name="Plains Explore" dataDxfId="483"/>
    <tableColumn id="21" xr3:uid="{28A63039-E9F4-4C91-BC61-38AFA90CBBA3}" name="Forest Explore" dataDxfId="482"/>
    <tableColumn id="22" xr3:uid="{52A3F218-67B7-4353-9DCD-90E402F80D3A}" name="Mountain Explore" dataDxfId="481"/>
    <tableColumn id="23" xr3:uid="{CADD78BB-1A84-4EF1-B568-74D7A7333BED}" name="Hill Explore" dataDxfId="480"/>
    <tableColumn id="24" xr3:uid="{86B12DCD-5E50-4631-800C-3D06D0C8407F}" name="Swamp Explore" dataDxfId="479"/>
    <tableColumn id="25" xr3:uid="{41A3F8D1-C19F-4B01-A125-BD6C5BE75F1D}" name="Cavern Explore" dataDxfId="478"/>
    <tableColumn id="26" xr3:uid="{DD83E77E-8C71-44A7-BF29-B8595544CC0D}" name="Water Explore" dataDxfId="477"/>
    <tableColumn id="27" xr3:uid="{6F68BDB2-663F-44CE-A108-1184CFBBBFB9}" name="Time" dataDxfId="476">
      <calculatedColumnFormula>TblImps[[#This Row],[Real time]]</calculatedColumnFormula>
    </tableColumn>
    <tableColumn id="28" xr3:uid="{0FBA88C1-4190-4A95-897B-20B88A072234}" name="Draftees" dataDxfId="475">
      <calculatedColumnFormula>TblMili[[#This Row],[Draftees]]</calculatedColumnFormula>
    </tableColumn>
    <tableColumn id="29" xr3:uid="{4EFD1992-02FD-4356-A327-EBEED01908DD}" name="Platinum" dataDxfId="474">
      <calculatedColumnFormula>TblProd[[#This Row],[Platinum]]</calculatedColumnFormula>
    </tableColumn>
    <tableColumn id="30" xr3:uid="{3D9A7B33-B273-4A01-8F7D-822B1BEB344B}" name=".." dataDxfId="473"/>
    <tableColumn id="31" xr3:uid="{EDB0F070-B31D-4B00-90A6-0A190E3CA80B}" name="Land-DB" dataDxfId="472">
      <calculatedColumnFormula>TblExplore[[#This Row],[Land]]-TblExplore[[#This Row],[Land Bonus]]*20</calculatedColumnFormula>
    </tableColumn>
    <tableColumn id="32" xr3:uid="{B94D1074-50E9-44F1-8957-6BE450DE4BF0}" name="Plat/acre" dataDxfId="471">
      <calculatedColumnFormula>ROUND(MAX(0.6*TblExplore[[#This Row],[Land-DB]]^1.299,850)*(1+ tech_2_6*Techs!AC4 + tech_2_9*Techs!AF4 + tech_3_7*Techs!AN4 + Overview!$I$32),0)</calculatedColumnFormula>
    </tableColumn>
    <tableColumn id="33" xr3:uid="{F0CBDA56-E75F-4156-B9BD-681857934D22}" name="Draftees/acre" dataDxfId="470">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69">
      <calculatedColumnFormula>SUM(TblExplore[[#This Row],[Plains Explore]:[Water Explore]])*TblExplore[[#This Row],[Plat/acre]]</calculatedColumnFormula>
    </tableColumn>
    <tableColumn id="35" xr3:uid="{61575F8F-5343-43C9-858D-AF8501368779}" name="Draftees (2)" dataDxfId="468">
      <calculatedColumnFormula>SUM(TblExplore[[#This Row],[Plains Explore]:[Water Explore]])*TblExplore[[#This Row],[Draftees/acre]]</calculatedColumnFormula>
    </tableColumn>
    <tableColumn id="36" xr3:uid="{BD4C2C0C-7F81-4BE8-9828-9CFCFFAFF394}" name="Max Explore" dataDxfId="467">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66" dataDxfId="465" tableBorderDxfId="46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63">
      <calculatedColumnFormula>TblConstr[[#This Row],[Land]]</calculatedColumnFormula>
    </tableColumn>
    <tableColumn id="2" xr3:uid="{09D3C0EB-2481-406C-ABC2-3B9FE0683D68}" name="Plains" dataDxfId="462">
      <calculatedColumnFormula>TblConstr[[#This Row],[Plain]]</calculatedColumnFormula>
    </tableColumn>
    <tableColumn id="3" xr3:uid="{E95763D4-88E5-487A-9912-CB5FED512375}" name="Forest" dataDxfId="461">
      <calculatedColumnFormula>TblConstr[[#This Row],[Forest]]</calculatedColumnFormula>
    </tableColumn>
    <tableColumn id="4" xr3:uid="{62B2173B-885E-48E7-B615-089739267B8E}" name="Mountains" dataDxfId="460">
      <calculatedColumnFormula>TblConstr[[#This Row],[Mountain]]</calculatedColumnFormula>
    </tableColumn>
    <tableColumn id="5" xr3:uid="{4FA61465-41A2-4497-AB2D-7B63B7113E12}" name="Hills" dataDxfId="459">
      <calculatedColumnFormula>TblConstr[[#This Row],[Hill]]</calculatedColumnFormula>
    </tableColumn>
    <tableColumn id="6" xr3:uid="{FC27A0D5-6BB5-414B-8DEB-98AD07E7EBFF}" name="Swamp" dataDxfId="458">
      <calculatedColumnFormula>TblConstr[[#This Row],[Swamp]]</calculatedColumnFormula>
    </tableColumn>
    <tableColumn id="7" xr3:uid="{E95EDCE9-4D0A-4F4F-80D0-F52A495BDAE2}" name="Caverns" dataDxfId="457">
      <calculatedColumnFormula>TblConstr[[#This Row],[Cavern]]</calculatedColumnFormula>
    </tableColumn>
    <tableColumn id="8" xr3:uid="{4D162EFF-D831-41C8-9A17-B9113296E43B}" name="Water" dataDxfId="456">
      <calculatedColumnFormula>TblConstr[[#This Row],[Water]]</calculatedColumnFormula>
    </tableColumn>
    <tableColumn id="9" xr3:uid="{D55A4201-089D-415F-8D4D-3ECCCB36C63A}" name="." dataDxfId="455"/>
    <tableColumn id="10" xr3:uid="{DD5BAECA-959B-44B4-BFE4-04100EF42CEE}" name="Hour" dataDxfId="454">
      <calculatedColumnFormula>J3+1</calculatedColumnFormula>
    </tableColumn>
    <tableColumn id="11" xr3:uid="{BBC04AC2-481C-43B9-8F7E-DA11BD9865DF}" name="Time" dataDxfId="453">
      <calculatedColumnFormula>TblImps[[#This Row],[Real time]]</calculatedColumnFormula>
    </tableColumn>
    <tableColumn id="12" xr3:uid="{D6C776EF-706C-4E21-B5A7-00C9AD08F8F2}" name="Plains Rezone" dataDxfId="452"/>
    <tableColumn id="13" xr3:uid="{8517A176-425D-4D28-9953-4EC1AA93C82D}" name="Forest Rezone" dataDxfId="451"/>
    <tableColumn id="14" xr3:uid="{6C6986FB-4B34-4620-9F5C-E204CA007C29}" name="Mountain Rezone" dataDxfId="450"/>
    <tableColumn id="15" xr3:uid="{A238C8DA-37C8-4B93-BDB9-803627A51455}" name="Hill Rezone" dataDxfId="449"/>
    <tableColumn id="16" xr3:uid="{6F93D167-46BB-49F9-99E2-4FE4FA89F6F6}" name="Swamp Rezone" dataDxfId="448"/>
    <tableColumn id="17" xr3:uid="{2891557D-037E-43FE-B080-6B5406778FAE}" name="Cavern Rezone" dataDxfId="447"/>
    <tableColumn id="18" xr3:uid="{C6630C4B-97F3-4512-833F-587ADB90804D}" name="Water Rezone" dataDxfId="446"/>
    <tableColumn id="19" xr3:uid="{71938840-BA0F-4F0E-90C2-866B3EEED32E}" name="Total acres" dataDxfId="445">
      <calculatedColumnFormula>SUMIF(TblRezone[[#This Row],[Plains Rezone]:[Water Rezone]],"&gt;0")</calculatedColumnFormula>
    </tableColumn>
    <tableColumn id="20" xr3:uid="{A48C796B-764B-4744-95D2-0DB5292F5562}" name="Ok?" dataDxfId="444">
      <calculatedColumnFormula>IF(SUM(TblRezone[[#This Row],[Plains Rezone]:[Water Rezone]])=0,"Ok","Nope")</calculatedColumnFormula>
    </tableColumn>
    <tableColumn id="21" xr3:uid="{2EBFAAC1-440A-44F3-A930-C229C35B9BD3}" name=".." dataDxfId="443"/>
    <tableColumn id="22" xr3:uid="{2020F260-8DB5-44E6-A131-B44D79AF6B62}" name="Platinum" dataDxfId="442">
      <calculatedColumnFormula>TblProd[[#This Row],[Platinum]]</calculatedColumnFormula>
    </tableColumn>
    <tableColumn id="23" xr3:uid="{81A5A213-A750-4DD5-8456-6B104D493CA4}" name="…" dataDxfId="441"/>
    <tableColumn id="24" xr3:uid="{8EF28125-DA30-4482-ADE4-2B916A90CAD2}" name="Plat/acre" dataDxfId="44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439">
      <calculatedColumnFormula>TblRezone[[#This Row],[Total acres]]*TblRezone[[#This Row],[Plat/acre]]</calculatedColumnFormula>
    </tableColumn>
    <tableColumn id="26" xr3:uid="{685D7DEA-DD3C-4385-BEC6-C5DBEEE6B44D}" name="…." dataDxfId="438"/>
    <tableColumn id="27" xr3:uid="{44BE000A-0846-46D4-B9B4-8728EC5881AB}" name="Plat/acre*" dataDxfId="437">
      <calculatedColumnFormula>250+0.6*(TblRezone[[#This Row],[Land]]-250)</calculatedColumnFormula>
    </tableColumn>
    <tableColumn id="28" xr3:uid="{3AFBA97F-9340-4669-BF68-67D7B351BBD4}" name="….." dataDxfId="436"/>
    <tableColumn id="29" xr3:uid="{D8C9DC04-80EE-49BF-BEDB-6FEC536A5F93}" name="Facs" dataDxfId="43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434" dataDxfId="432" headerRowBorderDxfId="433" tableBorderDxfId="431">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430">
      <calculatedColumnFormula>TblRezone[[#This Row],[Hour]]</calculatedColumnFormula>
    </tableColumn>
    <tableColumn id="2" xr3:uid="{EAC413AF-EC0E-4C34-B6C3-F5AE2181B0A0}" name="Military" dataDxfId="429">
      <calculatedColumnFormula>SUM(TblMili[[#This Row],[Unit 1]:[Archmages]])+SUM(TblMili[[#This Row],[Train Unit 1]:[Train Unit 4]])+TblMili[[#This Row],[Draftees]]</calculatedColumnFormula>
    </tableColumn>
    <tableColumn id="3" xr3:uid="{B9847F02-8883-462E-B245-62A25138A973}" name="Military%" dataDxfId="428">
      <calculatedColumnFormula>TblPop[[#This Row],[Military%]]</calculatedColumnFormula>
    </tableColumn>
    <tableColumn id="4" xr3:uid="{873B66D3-9A4C-4CF2-ADD1-BF3696F9A721}" name="." dataDxfId="427"/>
    <tableColumn id="5" xr3:uid="{FC5A3C7C-0387-4B98-9BB7-AC3A387EAFF0}" name="Unit 1" dataDxfId="426">
      <calculatedColumnFormula>OFFSET(TblMili[[#This Row],[Unit 1]],-1,0) - TblMili[[#This Row],[Release Unit 1]]</calculatedColumnFormula>
    </tableColumn>
    <tableColumn id="6" xr3:uid="{A8BE2C9D-1318-46BD-B50B-D87014E90395}" name="Unit 2" dataDxfId="425">
      <calculatedColumnFormula>OFFSET(TblMili[[#This Row],[Unit 2]],-1,0)-TblMili[[#This Row],[Release Unit 2]]</calculatedColumnFormula>
    </tableColumn>
    <tableColumn id="7" xr3:uid="{49487FD4-4EF4-4722-A4A4-FCC0DD98F9F2}" name="Unit 3" dataDxfId="424">
      <calculatedColumnFormula>OFFSET(TblMili[[#This Row],[Unit 3]],-1,0)-TblMili[[#This Row],[Release Unit 3]]</calculatedColumnFormula>
    </tableColumn>
    <tableColumn id="8" xr3:uid="{739E7790-2960-445C-A5B2-C6064A881CDF}" name="Unit 4" dataDxfId="423">
      <calculatedColumnFormula>OFFSET(TblMili[[#This Row],[Unit 4]],-1,0)-TblMili[[#This Row],[Release Unit 4]]</calculatedColumnFormula>
    </tableColumn>
    <tableColumn id="9" xr3:uid="{0DB25EC0-D296-415A-BF65-DA60D7174CD2}" name="Spies" dataDxfId="422">
      <calculatedColumnFormula>OFFSET(TblMili[[#This Row],[Spies]],-1,0)-TblMili[[#This Row],[Release Spies]]</calculatedColumnFormula>
    </tableColumn>
    <tableColumn id="10" xr3:uid="{1B32AEAE-0DB3-4DD4-8543-1BD37596FD6C}" name="Wizards" dataDxfId="421">
      <calculatedColumnFormula>OFFSET(TblMili[[#This Row],[Wizards]],-1,0)-TblMili[[#This Row],[Release Wizards]]-TblMili[[#This Row],[Train Arch]]</calculatedColumnFormula>
    </tableColumn>
    <tableColumn id="11" xr3:uid="{ED512AF5-16B2-421C-BF95-07157DB57B9D}" name="Archmages" dataDxfId="420">
      <calculatedColumnFormula>OFFSET(TblMili[[#This Row],[Archmages]],-1,0)-TblMili[[#This Row],[Release Arch]]</calculatedColumnFormula>
    </tableColumn>
    <tableColumn id="12" xr3:uid="{CADE9B79-5861-46C5-8C69-B19C0F0551CF}" name=".." dataDxfId="419"/>
    <tableColumn id="13" xr3:uid="{18901E43-A967-4D1C-A56F-B4449A6C28E5}" name="Networth" dataDxfId="418">
      <calculatedColumnFormula>TblProd[[#This Row],[Networth]]</calculatedColumnFormula>
    </tableColumn>
    <tableColumn id="14" xr3:uid="{2F50B0FF-1C90-493E-BE67-86AFE22B6059}" name="…" dataDxfId="417"/>
    <tableColumn id="15" xr3:uid="{800A8F5F-B777-4995-AD6F-4DF929E0A477}" name="Raw" dataDxfId="416">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415">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414">
      <calculatedColumnFormula>TblMili[[#This Row],[Raw]]*(1+TblMili[[#This Row],[Mods_Off]])</calculatedColumnFormula>
    </tableColumn>
    <tableColumn id="18" xr3:uid="{49AD1BCC-C9BC-46CD-8B38-93838D61E9DD}" name="Non Draft" dataDxfId="413">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412">
      <calculatedColumnFormula>TblMili[[#This Row],[Non Draft]]+TblMili[[#This Row],[Draftees]]</calculatedColumnFormula>
    </tableColumn>
    <tableColumn id="20" xr3:uid="{C64B2C83-F9B3-427D-8326-C6954139623D}" name="Mods_Def" dataDxfId="411">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410" dataCellStyle="Comma">
      <calculatedColumnFormula>TblMili[[#This Row],[Non Draft]] * (1 + TblMili[[#This Row],[Mods_Def]])</calculatedColumnFormula>
    </tableColumn>
    <tableColumn id="22" xr3:uid="{EA8914C0-CD98-4E5C-A923-EA0F9E30F1EA}" name="Draft (mod)" dataDxfId="409">
      <calculatedColumnFormula>TblMili[[#This Row],[Draft]] * (1 + TblMili[[#This Row],[Mods_Def]])</calculatedColumnFormula>
    </tableColumn>
    <tableColumn id="23" xr3:uid="{EAC9356D-CE42-4256-BB93-BF208B480555}" name="Land" dataDxfId="408">
      <calculatedColumnFormula>TblConstr[[#This Row],[Land]]</calculatedColumnFormula>
    </tableColumn>
    <tableColumn id="24" xr3:uid="{D4A87242-2EDC-47D9-8CA4-84D822469E1B}" name="Set" dataDxfId="407"/>
    <tableColumn id="25" xr3:uid="{448088C9-E1C1-47E6-9443-BE83ECC5C2F2}" name="Draftrate" dataDxfId="406" dataCellStyle="Percent">
      <calculatedColumnFormula>IF(TblMili[[#This Row],[Set]]&lt;&gt;"",TblMili[[#This Row],[Set]],OFFSET(TblMili[[#This Row],[Draftrate]],-1,0))</calculatedColumnFormula>
    </tableColumn>
    <tableColumn id="26" xr3:uid="{EE8F6844-A68F-416E-B5A0-7B6FA4C5DE98}" name="Draftees" dataDxfId="405">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404"/>
    <tableColumn id="28" xr3:uid="{0B20A7CE-7BB6-4469-889B-DF744233C462}" name="Smithies" dataDxfId="403" dataCellStyle="Percent">
      <calculatedColumnFormula>(TblConstr[[#This Row],[Tot Smi]]+TblConstr[[#This Row],[Dest Smi]])/(TblConstr[[#This Row],[Land]]-TblExplore[[#This Row],[Land Bonus]]*20)</calculatedColumnFormula>
    </tableColumn>
    <tableColumn id="29" xr3:uid="{A03A8504-EBEF-4639-9EE4-238592848C94}" name="….." dataDxfId="402"/>
    <tableColumn id="30" xr3:uid="{4B521A36-EE77-42BE-850C-0D858F3717A6}" name="Hour (2)" dataDxfId="401">
      <calculatedColumnFormula>TblMili[[#This Row],[Hour]]</calculatedColumnFormula>
    </tableColumn>
    <tableColumn id="31" xr3:uid="{D44FE507-2C86-49D9-BC07-83C7B27BB255}" name="Time" dataDxfId="400">
      <calculatedColumnFormula>TblExplore[[#This Row],[Time]]</calculatedColumnFormula>
    </tableColumn>
    <tableColumn id="32" xr3:uid="{0DAD6AB9-2259-4821-8771-37863F1ED4CC}" name="Train Unit 1" dataDxfId="399"/>
    <tableColumn id="33" xr3:uid="{0E43B866-578B-4060-84D1-01656CB368A4}" name="Train Unit 2" dataDxfId="398"/>
    <tableColumn id="34" xr3:uid="{3AAC979B-4FF3-4EFF-8F6E-BD28BBE2B8BD}" name="Train Unit 3" dataDxfId="397"/>
    <tableColumn id="35" xr3:uid="{EC6B8083-BC72-4376-9760-2275CF62C1A6}" name="Train Unit 4" dataDxfId="396"/>
    <tableColumn id="36" xr3:uid="{DE15CA92-2C69-4205-88B3-DE37F5AAF9A6}" name="Train Spies" dataDxfId="395"/>
    <tableColumn id="37" xr3:uid="{97770C71-624D-4E73-A8AD-D79927F45908}" name="Train Wiz" dataDxfId="394"/>
    <tableColumn id="38" xr3:uid="{4E456233-AA67-4D90-9179-339EBD335F62}" name="Train Arch" dataDxfId="393"/>
    <tableColumn id="39" xr3:uid="{29C90460-5421-4EA7-A4CB-BDA1C40BF8A1}" name="…..." dataDxfId="392"/>
    <tableColumn id="40" xr3:uid="{2C04ED42-9AAF-4375-A8D4-18DA4B397FAA}" name="Platinum" dataDxfId="391">
      <calculatedColumnFormula>TblProd[[#This Row],[Platinum]]</calculatedColumnFormula>
    </tableColumn>
    <tableColumn id="41" xr3:uid="{122C6EDE-4C24-4A3C-9FA2-6A7942348604}" name="Secondary recource" dataDxfId="390">
      <calculatedColumnFormula>INDEX(TblProd[[#Headers],[Lumber]]:TblProd[[#This Row],[Ore]],COUNTA(TblProd[[#Headers],[Lumber]]:TblProd[[#This Row],[Lumber]]),MATCH(Military!$AO$2,TblProd[[#Headers],[Lumber]:[Ore]],0))</calculatedColumnFormula>
    </tableColumn>
    <tableColumn id="42" xr3:uid="{AD4D72D1-3860-48CA-B3DA-ADFB8307154A}" name="Plat Cost" dataDxfId="38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8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87">
      <calculatedColumnFormula>TblMili[[#This Row],[Hour]]</calculatedColumnFormula>
    </tableColumn>
    <tableColumn id="45" xr3:uid="{20B1F70F-03BF-43F5-9126-6B2FF45FE149}" name="Time " dataDxfId="386">
      <calculatedColumnFormula>TblMili[[#This Row],[Time]]</calculatedColumnFormula>
    </tableColumn>
    <tableColumn id="46" xr3:uid="{32831987-A30D-4329-BB1C-DB47E6B77B54}" name="Draftees22" dataDxfId="385">
      <calculatedColumnFormula>TblMili[[#This Row],[Draftees]]</calculatedColumnFormula>
    </tableColumn>
    <tableColumn id="47" xr3:uid="{7EBE7BE4-37D1-4B52-B049-F9BE4ABBBADC}" name="Release Draft" dataDxfId="384"/>
    <tableColumn id="48" xr3:uid="{C3BB0EE7-6180-4099-B663-EFA3F1503DB3}" name="Release Unit 1" dataDxfId="383"/>
    <tableColumn id="49" xr3:uid="{EDF7E463-807D-4CE2-B63E-18766260768C}" name="Release Unit 2" dataDxfId="382"/>
    <tableColumn id="50" xr3:uid="{A1BE9DD8-455A-4FAA-8154-5BB2D1A53261}" name="Release Unit 3" dataDxfId="381"/>
    <tableColumn id="51" xr3:uid="{4FE1D56E-EA47-4DF6-B5A4-E78C1D5F5774}" name="Release Unit 4" dataDxfId="380"/>
    <tableColumn id="52" xr3:uid="{F0F9CB78-BA40-4031-AC17-0AB88B159B60}" name="Release Spies" dataDxfId="379"/>
    <tableColumn id="53" xr3:uid="{3CC7AC8A-814F-42C4-B491-A6DFD7A4A93E}" name="Release Wizards" dataDxfId="378"/>
    <tableColumn id="54" xr3:uid="{BCB616C3-3465-4473-B27B-B25584160E71}" name="Release Arch" dataDxfId="377"/>
    <tableColumn id="55" xr3:uid="{6B6EC03F-2A6A-47EB-A7F1-0DFE335A330A}" name="Column31" dataDxfId="376"/>
    <tableColumn id="56" xr3:uid="{71F6F49D-CD22-4E5F-BBB5-61150307312C}" name="WG's" dataDxfId="375">
      <calculatedColumnFormula>TblConstr[[#This Row],[Tot WG]]/TblConstr[[#This Row],[Land]]</calculatedColumnFormula>
    </tableColumn>
    <tableColumn id="57" xr3:uid="{B8AC3F70-AED4-4E5E-9FFD-FF94CB39B791}" name="FH's" dataDxfId="374">
      <calculatedColumnFormula>TblConstr[[#This Row],[Tot Hav]]/TblConstr[[#This Row],[Land]]</calculatedColumnFormula>
    </tableColumn>
    <tableColumn id="58" xr3:uid="{140FE3B0-18E6-43AA-A625-E817354E2D53}" name="OP Plat" dataDxfId="373">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72">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71">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70">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69">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68">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67">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66">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65">
      <calculatedColumnFormula>ROUNDUP((1-MIN(ROUND(fh_spy_cost_red*TblMili[[#This Row],[FH''s]],4),fh_spy_cost_cap)+ tech_1_9*TblTech[[#This Row],[1-9]] + tech_9_1*TblTech[[#This Row],[9-1]])*spy_plat,0)</calculatedColumnFormula>
    </tableColumn>
    <tableColumn id="67" xr3:uid="{CDB40042-773A-4CE1-B670-B62BC884A947}" name="Wizzies cost" dataDxfId="364">
      <calculatedColumnFormula>ROUNDUP((1-MIN(ROUND(wg_wiz_cost_bonus*TblMili[[#This Row],[WG''s]],4),wg_wiz_cost_cap) + tech_1_9_2*TblTech[[#This Row],[1-9]] + tech_9_1_2*TblTech[[#This Row],[9-1]])*wizard_plat,0)</calculatedColumnFormula>
    </tableColumn>
    <tableColumn id="68" xr3:uid="{1053234A-AE18-4A82-94FC-D94692087DE3}" name="AMs cost" dataDxfId="363">
      <calculatedColumnFormula>ROUNDUP((1-MIN(ROUND(wg_wiz_cost_bonus*TblMili[[#This Row],[WG''s]],4),wg_wiz_cost_cap) + tech_1_9_2*TblTech[[#This Row],[1-9]] + tech_9_1_2*TblTech[[#This Row],[9-1]])*archmage_plat,0)</calculatedColumnFormula>
    </tableColumn>
    <tableColumn id="69" xr3:uid="{9D11DA92-CF6B-4838-B51B-494833977486}" name="…2" dataDxfId="362"/>
    <tableColumn id="70" xr3:uid="{1F713D65-CE26-4E75-AF9C-1E2610D02FB6}" name="Hill" dataDxfId="361">
      <calculatedColumnFormula>TblConstr[[#This Row],[Homeland]]/TblConstr[[#This Row],[Land]]</calculatedColumnFormula>
    </tableColumn>
    <tableColumn id="71" xr3:uid="{FBD620E0-8F97-4BED-916D-A8962B459E13}" name="WG" dataDxfId="360">
      <calculatedColumnFormula>TblMili[[#This Row],[WG''s]]</calculatedColumnFormula>
    </tableColumn>
    <tableColumn id="72" xr3:uid="{0F482B90-6164-42A0-AC1A-EB6CBE2239E0}" name="Mystic" dataDxfId="359">
      <calculatedColumnFormula>IF(mystic_cap="none",TblMili[[#This Row],[Hill]]/mystic_bonus,MIN(mystic_cap,TblMili[[#This Row],[Hill]]/mystic_bonus))</calculatedColumnFormula>
    </tableColumn>
    <tableColumn id="73" xr3:uid="{2FD25056-5068-463F-8553-3D2CFBDBD80D}" name="Druid (op)" dataDxfId="358">
      <calculatedColumnFormula>IF(druid_op_cap="none",TblMili[[#This Row],[Hill]]/druid_op_bonus,MIN(druid_op_cap,TblMili[[#This Row],[Hill]]/druid_op_bonus))</calculatedColumnFormula>
    </tableColumn>
    <tableColumn id="74" xr3:uid="{53018DF3-E735-41C7-A3D0-8E634866C57E}" name="Druid (dp)" dataDxfId="357">
      <calculatedColumnFormula>IF(druid_dp_cap="none",TblMili[[#This Row],[Hill]]/druid_dp_bonus,MIN(druid_dp_cap,TblMili[[#This Row],[Hill]]/druid_dp_bonus))</calculatedColumnFormula>
    </tableColumn>
    <tableColumn id="75" xr3:uid="{7F4EE74D-9905-4DF0-A5F6-DDC9D0115356}" name="Dryad" dataDxfId="356">
      <calculatedColumnFormula>MIN(dryad_cap,TblMili[[#This Row],[Hill]]/dryad_bonus)</calculatedColumnFormula>
    </tableColumn>
    <tableColumn id="76" xr3:uid="{E7F9826C-05CD-49D4-95DF-ECCD467D1341}" name="Rockapult" dataDxfId="355">
      <calculatedColumnFormula>MIN(rocka_cap,TblMili[[#This Row],[Hill]]/rocka_bonus)</calculatedColumnFormula>
    </tableColumn>
    <tableColumn id="77" xr3:uid="{A26FFF73-DC56-4E66-8A0E-51A9C837AE8D}" name="Spellblade" dataDxfId="354">
      <calculatedColumnFormula>MIN(adept_op_cap,TblMili[[#This Row],[WG]]/adept_op_bonus)</calculatedColumnFormula>
    </tableColumn>
    <tableColumn id="78" xr3:uid="{A5F9372F-5EBA-4E5A-AB3F-5A786DE5FEB0}" name="Adept-DP" dataDxfId="353">
      <calculatedColumnFormula>MIN(adept_dp_cap,TblMili[[#This Row],[WG]]/adept_dp_bonus)</calculatedColumnFormula>
    </tableColumn>
    <tableColumn id="79" xr3:uid="{FF50DABE-A375-4222-848D-9C4D1D0FC999}" name="Beasts" dataDxfId="352">
      <calculatedColumnFormula>MIN(TblMili[[#This Row],[Unit 3]],TblMili[[#This Row],[Unit 4]])*2</calculatedColumnFormula>
    </tableColumn>
    <tableColumn id="80" xr3:uid="{FFCDA044-2FD9-4119-B82B-7914D887B7F4}" name="Overlords" dataDxfId="351">
      <calculatedColumnFormula>MIN(TblMili[[#This Row],[Unit 1]],TblMili[[#This Row],[Unit 4]])*2</calculatedColumnFormula>
    </tableColumn>
    <tableColumn id="81" xr3:uid="{00DE2C4D-2323-42A0-B749-2FB5F4E28DBF}" name="Frost Mage" dataDxfId="350">
      <calculatedColumnFormula>MIN(frost_mage_cap,TblMili[[#This Row],[Hill]]/frost_mage_bonus)</calculatedColumnFormula>
    </tableColumn>
    <tableColumn id="82" xr3:uid="{BB055F70-3593-48E8-A32F-2C3BC4E6D218}" name="Ice Elemental" dataDxfId="349">
      <calculatedColumnFormula>MIN(ice_elem_cap,TblMili[[#This Row],[Raw (2)]]*ice_elem_bonus)</calculatedColumnFormula>
    </tableColumn>
    <tableColumn id="83" xr3:uid="{1158BE59-7C9D-4D41-AE99-4249CB18E29F}" name="Orc" dataDxfId="348">
      <calculatedColumnFormula>MIN(bone_breaker_cap,250/bone_breaker_bonus)</calculatedColumnFormula>
    </tableColumn>
    <tableColumn id="84" xr3:uid="{76252BAC-90E5-49A7-B5F9-E399F71EA45D}" name="Nox" dataDxfId="347">
      <calculatedColumnFormula>MIN(nox_nightshade_cap,TblConstr[[#This Row],[Homeland]]/TblConstr[[#This Row],[Land]]/nox_nightshade_swamp_bonus)</calculatedColumnFormula>
    </tableColumn>
    <tableColumn id="85" xr3:uid="{1DFCAA2E-8651-447E-895D-82655A45DF53}" name="Column36" dataDxfId="346"/>
    <tableColumn id="86" xr3:uid="{2B117F31-500F-4EF5-A943-EA4E7192FD0F}" name="Column37" dataDxfId="345"/>
    <tableColumn id="87" xr3:uid="{F3D20B86-D78F-4794-87F9-C555822D3041}" name="Column38" dataDxfId="344"/>
    <tableColumn id="88" xr3:uid="{BDEF093C-2660-4215-8999-F98F4344DFB8}" name="Mystic bonus" dataDxfId="343">
      <calculatedColumnFormula>MIN(6,TblMili[[#This Row],[Mystic]]+Races!$F$19)*1.8 +  IF(TblMili[[#This Row],[Mystic]]+Races!$F$19&gt;6,(TblMili[[#This Row],[Mystic]]+Races!$F$19-6)*0.2,0) - Races!$I$19</calculatedColumnFormula>
    </tableColumn>
    <tableColumn id="89" xr3:uid="{46F4DC63-3122-4751-919D-25DE59A7EF66}" name="Druid bonus" dataDxfId="342">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341">
      <calculatedColumnFormula>TblMili[[#This Row],[Mystic bonus]]*TblMili[[#This Row],[Unit 3]]+TblMili[[#This Row],[Druid bonus]]*TblMili[[#This Row],[Unit 4]]</calculatedColumnFormula>
    </tableColumn>
    <tableColumn id="91" xr3:uid="{4EE98187-D861-41F7-99BA-17048C4D8D34}" name="Dryad bonus" dataDxfId="340">
      <calculatedColumnFormula>MIN(6,TblMili[[#This Row],[Dryad]]+Races!$F$35)*1.8 +  IF(TblMili[[#This Row],[Dryad]]+Races!$F$35&gt;6,(TblMili[[#This Row],[Dryad]]+Races!$F$35-6)*0.2,0) - Races!$I$19</calculatedColumnFormula>
    </tableColumn>
    <tableColumn id="92" xr3:uid="{4D0FBA77-63EB-4AF7-AA3C-BF4D432786D2}" name="Sylvan bonus" dataDxfId="339">
      <calculatedColumnFormula>sylvan*(TblMili[[#This Row],[Mystic bonus]]*TblMili[[#This Row],[Unit 3]])</calculatedColumnFormula>
    </tableColumn>
    <tableColumn id="93" xr3:uid="{9CB7A2CE-8BEC-402B-B1F0-5A1153673E45}" name="Rockapult bonus" dataDxfId="338">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337">
      <calculatedColumnFormula>gnome*(TblMili[[#This Row],[Rockapult bonus]]*TblMili[[#This Row],[Unit 3]])</calculatedColumnFormula>
    </tableColumn>
    <tableColumn id="95" xr3:uid="{A02C2188-BFCD-4178-8B64-B969D4D2D97B}" name="Adept bonus" dataDxfId="336">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335">
      <calculatedColumnFormula>dark_elf*(TblMili[[#This Row],[Adept bonus]]*TblMili[[#This Row],[Unit 3]])</calculatedColumnFormula>
    </tableColumn>
    <tableColumn id="97" xr3:uid="{19730E51-BC55-444F-8E03-4B3A51C0E3D8}" name="Frost Mage bonus" dataDxfId="334">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333">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332">
      <calculatedColumnFormula>TblMili[[#This Row],[Frost Mage bonus]]*TblMili[[#This Row],[Unit 3]]+TblMili[[#This Row],[Ice Elemental bonus]]*TblMili[[#This Row],[Unit 4]]</calculatedColumnFormula>
    </tableColumn>
    <tableColumn id="100" xr3:uid="{A2072E36-3982-4B78-93F1-3B2C7DD41EB6}" name="Column46" dataDxfId="331"/>
    <tableColumn id="101" xr3:uid="{AA2C19ED-CD7C-4497-8949-4735D8380A50}" name="Favorable Terrain Bonus" dataDxfId="330" dataCellStyle="Percent">
      <calculatedColumnFormula>MIN(SUM(TblConstr[[#This Row],[Plain]:[Water]])/TblMili[[#This Row],[Land]]/favorable_terrain_bonus/100,favorable_terrain_max)</calculatedColumnFormula>
    </tableColumn>
    <tableColumn id="102" xr3:uid="{045A1C5D-FFD7-4F37-8C55-3E1C6325D69C}" name="Column48" dataDxfId="329"/>
    <tableColumn id="103" xr3:uid="{CA1D4487-36A8-42BE-AAE8-1C025B923059}" name="Networth (2)" dataDxfId="328">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327"/>
    <tableColumn id="105" xr3:uid="{628D592A-8396-4FB0-BFC1-BC7CA81586EE}" name="Raw (2)" dataDxfId="326">
      <calculatedColumnFormula>(TblMili[[#This Row],[Wizards]]+2*TblMili[[#This Row],[Archmages]])/TblConstr[[#This Row],[Land]]</calculatedColumnFormula>
    </tableColumn>
    <tableColumn id="106" xr3:uid="{016BFDB0-CD57-41C0-AF17-CB540C2E962C}" name="Modded (2)" dataDxfId="325">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324" dataDxfId="322" headerRowBorderDxfId="323" tableBorderDxfId="321">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320">
      <calculatedColumnFormula>TblRezone[[#This Row],[Hour]]</calculatedColumnFormula>
    </tableColumn>
    <tableColumn id="2" xr3:uid="{E160E2FF-C983-4A55-B03E-684BAA5D56D7}" name="Land" dataDxfId="319">
      <calculatedColumnFormula>TblConstr[[#This Row],[Land]]</calculatedColumnFormula>
    </tableColumn>
    <tableColumn id="3" xr3:uid="{CEA3931F-9B77-4317-A7C7-C5D0214A12BA}" name="Mana" dataDxfId="318">
      <calculatedColumnFormula>TblProd[[#This Row],[Mana]]</calculatedColumnFormula>
    </tableColumn>
    <tableColumn id="4" xr3:uid="{D383CA2D-65F3-4634-A1DD-E4ECA1CC96C8}" name="Wiz str" dataDxfId="317">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316">
      <calculatedColumnFormula>OFFSET(TblMagic[[#This Row],[Time]],-1,0)+1/24</calculatedColumnFormula>
    </tableColumn>
    <tableColumn id="6" xr3:uid="{6625E0CA-37E1-457D-817F-784FA6A7A47B}" name="Pop" dataDxfId="315">
      <calculatedColumnFormula>TblImps[[#This Row],[Population]]</calculatedColumnFormula>
    </tableColumn>
    <tableColumn id="7" xr3:uid="{74B4A440-273D-4100-B1BC-91171D1D20B6}" name="Gaia's Watch" dataDxfId="314"/>
    <tableColumn id="8" xr3:uid="{43E4A01F-74F7-4C30-9D8A-3079A04763B9}" name="Mining Strength" dataDxfId="313"/>
    <tableColumn id="9" xr3:uid="{1A92950C-8F89-409E-9002-FCC57F75ADE0}" name="Ares Call" dataDxfId="312"/>
    <tableColumn id="10" xr3:uid="{A04C0737-02D0-4DAA-B9D7-324E3D59498C}" name="Midas Touch" dataDxfId="311"/>
    <tableColumn id="11" xr3:uid="{028D46F5-0AAD-49F8-AC48-D5E2C41FD4C2}" name="Harmony" dataDxfId="310"/>
    <tableColumn id="12" xr3:uid="{42548E68-C2D5-44CD-99FA-6AD40E64E185}" name="Miner's Sight" dataDxfId="309"/>
    <tableColumn id="13" xr3:uid="{D64F8C18-3DBE-4D7A-8AA3-C35E04DD6CAC}" name="Mechanical Genius" dataDxfId="308"/>
    <tableColumn id="14" xr3:uid="{0165862E-59ED-45FB-BD5A-0C7DCAA39217}" name="Frenzy" dataDxfId="307"/>
    <tableColumn id="15" xr3:uid="{762B30AD-670D-48C3-94F1-2BA1DC4089CC}" name="Killing Rage / Bloodrage / Crusade" dataDxfId="306"/>
    <tableColumn id="16" xr3:uid="{0162EA56-857C-4157-A7AB-4D90C9EA47F1}" name="Gaia's Blessing" dataDxfId="305"/>
    <tableColumn id="17" xr3:uid="{6D83302D-974B-4742-8BDA-D99BB673F6D7}" name="Howling" dataDxfId="304"/>
    <tableColumn id="18" xr3:uid="{081EE08A-AA95-4648-9376-F68D04887352}" name="Blizzard" dataDxfId="303"/>
    <tableColumn id="19" xr3:uid="{3BCC0361-67FB-4576-8296-8E91F374A4A4}" name="Alchemists Flame" dataDxfId="302"/>
    <tableColumn id="20" xr3:uid="{CFB1AFFE-0570-4E81-B96B-5EE870CC5038}" name="Nightfall" dataDxfId="301"/>
    <tableColumn id="40" xr3:uid="{CD69E8F6-3FD6-49C0-9EB8-DB9FD0CAA6D9}" name="Favorable Terrain" dataDxfId="300"/>
    <tableColumn id="21" xr3:uid="{4F53D2F5-E2E8-4AEE-975D-5B925FA589B0}" name="Useless spell" dataDxfId="299"/>
    <tableColumn id="22" xr3:uid="{E7040239-1040-4E8C-8EEB-3D517AC825BD}" name="." dataDxfId="298"/>
    <tableColumn id="23" xr3:uid="{8F45EE21-92D1-4622-B103-16B477DF630B}" name="Mana cost" dataDxfId="297">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96">
      <calculatedColumnFormula>SUMIF(TblMagic[[#This Row],[Gaia''s Watch]:[Useless spell]],1)*0.05</calculatedColumnFormula>
    </tableColumn>
    <tableColumn id="25" xr3:uid="{2466DF86-89FE-4172-9850-F9FBAE56839D}" name=".." dataDxfId="295"/>
    <tableColumn id="26" xr3:uid="{F8559349-C288-4EC3-B38A-23771E549D1D}" name="Active Gaia's Watch" dataDxfId="294">
      <calculatedColumnFormula>IF(TblMagic[[#This Row],[Gaia''s Watch]],12,IF(OFFSET(TblMagic[[#This Row],[Active Gaia''s Watch]],-1,0)&gt;0,OFFSET(TblMagic[[#This Row],[Active Gaia''s Watch]],-1,0)-1,0))</calculatedColumnFormula>
    </tableColumn>
    <tableColumn id="27" xr3:uid="{00F45689-4686-422F-8E94-89C18992B261}" name="Active Mining Strength" dataDxfId="293">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92">
      <calculatedColumnFormula>IF(TblMagic[[#This Row],[Ares Call]],12,IF(OFFSET(TblMagic[[#This Row],[Active Ares Call]],-1,0)&gt;0,OFFSET(TblMagic[[#This Row],[Active Ares Call]],-1,0)-1,0))</calculatedColumnFormula>
    </tableColumn>
    <tableColumn id="29" xr3:uid="{BCC9ACB6-69AC-4DA1-B07D-F4802162CEF5}" name="Active Midas Touch" dataDxfId="291">
      <calculatedColumnFormula>IF(TblMagic[[#This Row],[Midas Touch]],12,IF(OFFSET(TblMagic[[#This Row],[Active Midas Touch]],-1,0)&gt;0,OFFSET(TblMagic[[#This Row],[Active Midas Touch]],-1,0)-1,0))</calculatedColumnFormula>
    </tableColumn>
    <tableColumn id="30" xr3:uid="{D13DA239-CC1B-41FD-A41B-68906B10F262}" name="Active Harmony" dataDxfId="290">
      <calculatedColumnFormula>IF(TblMagic[[#This Row],[Harmony]],12,IF(OFFSET(TblMagic[[#This Row],[Active Harmony]],-1,0)&gt;0,OFFSET(TblMagic[[#This Row],[Active Harmony]],-1,0)-1,0))</calculatedColumnFormula>
    </tableColumn>
    <tableColumn id="31" xr3:uid="{10D4FEA0-0AA8-4F31-8F5A-8576AE611BDA}" name="Active Miner's Sight" dataDxfId="289">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88">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87">
      <calculatedColumnFormula>IF(TblMagic[[#This Row],[Frenzy]],12,IF(OFFSET(TblMagic[[#This Row],[Active Frenzy]],-1,0)&gt;0,OFFSET(TblMagic[[#This Row],[Active Frenzy]],-1,0)-1,0))</calculatedColumnFormula>
    </tableColumn>
    <tableColumn id="34" xr3:uid="{3460E27B-FD4A-47FC-A87F-BAFED0FCC033}" name="Active Warsong / Killing Rage / Bloodrage" dataDxfId="286">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85">
      <calculatedColumnFormula>IF(TblMagic[[#This Row],[Gaia''s Blessing]],12,IF(OFFSET(TblMagic[[#This Row],[Active Gaia''s Blessing]],-1,0)&gt;0,OFFSET(TblMagic[[#This Row],[Active Gaia''s Blessing]],-1,0)-1,0))</calculatedColumnFormula>
    </tableColumn>
    <tableColumn id="36" xr3:uid="{DB2BE469-2BE3-4333-BFBC-C2857399E743}" name="Active Howling" dataDxfId="284">
      <calculatedColumnFormula>IF(TblMagic[[#This Row],[Howling]],12,IF(OFFSET(TblMagic[[#This Row],[Active Howling]],-1,0)&gt;0,OFFSET(TblMagic[[#This Row],[Active Howling]],-1,0)-1,0))</calculatedColumnFormula>
    </tableColumn>
    <tableColumn id="37" xr3:uid="{F5838FA3-8068-44AA-A6A2-758F46E5F78D}" name="Active Blizzard" dataDxfId="283">
      <calculatedColumnFormula>IF(TblMagic[[#This Row],[Blizzard]],12,IF(OFFSET(TblMagic[[#This Row],[Active Blizzard]],-1,0)&gt;0,OFFSET(TblMagic[[#This Row],[Active Blizzard]],-1,0)-1,0))</calculatedColumnFormula>
    </tableColumn>
    <tableColumn id="38" xr3:uid="{11215FCC-A994-4C4E-835C-F365C4B7BDF8}" name="Active Alchemists Flame" dataDxfId="282">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81">
      <calculatedColumnFormula>IF(TblMagic[[#This Row],[Nightfall]],12,IF(OFFSET(TblMagic[[#This Row],[Active Nightfall]],-1,0)&gt;0,OFFSET(TblMagic[[#This Row],[Active Nightfall]],-1,0)-1,0))</calculatedColumnFormula>
    </tableColumn>
    <tableColumn id="41" xr3:uid="{E8FFEB0A-82D1-4B3D-86CE-6103CDF8A0FD}" name="Active Favorable Terrain" dataDxfId="280">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79" dataDxfId="278">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77">
      <calculatedColumnFormula>TblRezone[[#This Row],[Hour]]</calculatedColumnFormula>
    </tableColumn>
    <tableColumn id="3" xr3:uid="{DA4A1ACF-68D6-4564-BB1C-C3C3172606A1}" name="Land" dataDxfId="276">
      <calculatedColumnFormula>TblExplore[[#This Row],[Land-DB]]</calculatedColumnFormula>
    </tableColumn>
    <tableColumn id="4" xr3:uid="{05D0DCAF-595D-47DB-9D6C-DB4A543CF655}" name="Techpoints" dataDxfId="275">
      <calculatedColumnFormula>TblProd[[#This Row],[Techpoints]]</calculatedColumnFormula>
    </tableColumn>
    <tableColumn id="5" xr3:uid="{B8D24105-AE76-4A7C-9D26-589CB9891ED4}" name="Cost" dataDxfId="274">
      <calculatedColumnFormula>TblProd[[#This Row],[Required]]</calculatedColumnFormula>
    </tableColumn>
    <tableColumn id="93" xr3:uid="{2ABEB4AB-3FE9-4283-8DD1-DADEE729E1F4}" name="." dataDxfId="273"/>
    <tableColumn id="9" xr3:uid="{94ADF196-65A4-42D5-B9F1-902A2448736A}" name="Activate @ hour" dataDxfId="272"/>
    <tableColumn id="10" xr3:uid="{41EC03BC-D935-4DB1-9358-D7E68CB11DA3}" name="Number" dataDxfId="271"/>
    <tableColumn id="19" xr3:uid="{8781F361-D9CA-4DDC-83D1-8F9FCDC61FD4}" name="Tech name" dataDxfId="270"/>
    <tableColumn id="11" xr3:uid="{ED497BC4-A3FE-4968-980C-41E3E397E8F1}" name="Gains" dataDxfId="269"/>
    <tableColumn id="20" xr3:uid="{B66F94F3-B0AC-4CC0-9E7C-4CF7E4C92EEE}" name=".." dataDxfId="268"/>
    <tableColumn id="21" xr3:uid="{4775993E-7C72-4134-8A78-3FB7DCE45728}" name="…" dataDxfId="267">
      <calculatedColumnFormula>IF(TblTech[[#This Row],[Sum of tech]]&lt;&gt;OFFSET(TblTech[[#This Row],[Sum of tech]],-1,0),1,0)</calculatedColumnFormula>
    </tableColumn>
    <tableColumn id="22" xr3:uid="{DFF59F63-FD6B-45DE-9EEF-3899A7D747EF}" name="Sum of tech" dataDxfId="266">
      <calculatedColumnFormula>COUNTIF(TblTech[[#This Row],[1-1]:[11-1]],1)</calculatedColumnFormula>
    </tableColumn>
    <tableColumn id="23" xr3:uid="{26B2ED42-21EF-41D3-8431-65B8DCB84C2C}" name="1-1" dataDxfId="265">
      <calculatedColumnFormula array="1">IF(AND(M$2&lt;&gt;0,TblTech[[#This Row],[Hour]:[Hour]]&gt;=M$2),1,0)</calculatedColumnFormula>
    </tableColumn>
    <tableColumn id="24" xr3:uid="{50258140-FB02-4B3A-8985-9EF35792D437}" name="1-2" dataDxfId="264">
      <calculatedColumnFormula array="1">IF(AND(N$2&lt;&gt;0,TblTech[[#This Row],[Hour]:[Hour]]&gt;=N$2),1,0)</calculatedColumnFormula>
    </tableColumn>
    <tableColumn id="25" xr3:uid="{7124BFDC-5B72-4806-BD66-A9B40B96E890}" name="1-3" dataDxfId="263">
      <calculatedColumnFormula array="1">IF(AND(O$2&lt;&gt;0,TblTech[[#This Row],[Hour]:[Hour]]&gt;=O$2),1,0)</calculatedColumnFormula>
    </tableColumn>
    <tableColumn id="26" xr3:uid="{7F0A139B-B30E-4409-9274-8016025EA227}" name="1-4" dataDxfId="262">
      <calculatedColumnFormula array="1">IF(AND(P$2&lt;&gt;0,TblTech[[#This Row],[Hour]:[Hour]]&gt;=P$2),1,0)</calculatedColumnFormula>
    </tableColumn>
    <tableColumn id="27" xr3:uid="{29B9EAE2-227D-4807-9E41-445565CAAFF7}" name="1-5" dataDxfId="261">
      <calculatedColumnFormula array="1">IF(AND(Q$2&lt;&gt;0,TblTech[[#This Row],[Hour]:[Hour]]&gt;=Q$2),1,0)</calculatedColumnFormula>
    </tableColumn>
    <tableColumn id="28" xr3:uid="{43587F1E-C217-44F9-817A-0114F7F48D02}" name="1-6" dataDxfId="260">
      <calculatedColumnFormula array="1">IF(AND(R$2&lt;&gt;0,TblTech[[#This Row],[Hour]:[Hour]]&gt;=R$2),1,0)</calculatedColumnFormula>
    </tableColumn>
    <tableColumn id="29" xr3:uid="{0524F9E6-09EC-4986-B7A6-35B925952E60}" name="1-7" dataDxfId="259">
      <calculatedColumnFormula array="1">IF(AND(S$2&lt;&gt;0,TblTech[[#This Row],[Hour]:[Hour]]&gt;=S$2),1,0)</calculatedColumnFormula>
    </tableColumn>
    <tableColumn id="30" xr3:uid="{188B6808-99A1-4A91-A689-87097F62C1C1}" name="1-8" dataDxfId="258">
      <calculatedColumnFormula array="1">IF(AND(T$2&lt;&gt;0,TblTech[[#This Row],[Hour]:[Hour]]&gt;=T$2),1,0)</calculatedColumnFormula>
    </tableColumn>
    <tableColumn id="31" xr3:uid="{DC02C18F-47C9-4A23-8F34-9E02A677D29B}" name="1-9" dataDxfId="257">
      <calculatedColumnFormula array="1">IF(AND(U$2&lt;&gt;0,TblTech[[#This Row],[Hour]:[Hour]]&gt;=U$2),1,0)</calculatedColumnFormula>
    </tableColumn>
    <tableColumn id="32" xr3:uid="{21B6A564-7028-4932-914B-F32A59CAEC67}" name="1-10" dataDxfId="256">
      <calculatedColumnFormula array="1">IF(AND(V$2&lt;&gt;0,TblTech[[#This Row],[Hour]:[Hour]]&gt;=V$2),1,0)</calculatedColumnFormula>
    </tableColumn>
    <tableColumn id="33" xr3:uid="{BE08B152-511E-4680-AD58-AFCC2777EE65}" name="1-11" dataDxfId="255">
      <calculatedColumnFormula array="1">IF(AND(W$2&lt;&gt;0,TblTech[[#This Row],[Hour]:[Hour]]&gt;=W$2),1,0)</calculatedColumnFormula>
    </tableColumn>
    <tableColumn id="34" xr3:uid="{F0B67B28-DF8B-4FF4-BE8F-BD953642450D}" name="2-1" dataDxfId="254">
      <calculatedColumnFormula array="1">IF(AND(X$2&lt;&gt;0,TblTech[[#This Row],[Hour]:[Hour]]&gt;=X$2),1,0)</calculatedColumnFormula>
    </tableColumn>
    <tableColumn id="35" xr3:uid="{E1C38FB5-1814-43BE-8628-9E331159B491}" name="2-2" dataDxfId="253">
      <calculatedColumnFormula array="1">IF(AND(Y$2&lt;&gt;0,TblTech[[#This Row],[Hour]:[Hour]]&gt;=Y$2),1,0)</calculatedColumnFormula>
    </tableColumn>
    <tableColumn id="36" xr3:uid="{8EEFA1A3-F668-44A9-99D5-F625CDEC0846}" name="2-3" dataDxfId="252">
      <calculatedColumnFormula array="1">IF(AND(Z$2&lt;&gt;0,TblTech[[#This Row],[Hour]:[Hour]]&gt;=Z$2),1,0)</calculatedColumnFormula>
    </tableColumn>
    <tableColumn id="37" xr3:uid="{8B9C353C-5141-4E70-88A8-3C0ADC0F65A2}" name="2-4" dataDxfId="251">
      <calculatedColumnFormula array="1">IF(AND(AA$2&lt;&gt;0,TblTech[[#This Row],[Hour]:[Hour]]&gt;=AA$2),1,0)</calculatedColumnFormula>
    </tableColumn>
    <tableColumn id="38" xr3:uid="{4F9949FA-D32C-43B0-A632-BDA246027740}" name="2-5" dataDxfId="250">
      <calculatedColumnFormula array="1">IF(AND(AB$2&lt;&gt;0,TblTech[[#This Row],[Hour]:[Hour]]&gt;=AB$2),1,0)</calculatedColumnFormula>
    </tableColumn>
    <tableColumn id="39" xr3:uid="{E35ABE45-7462-4288-879B-43C24510B588}" name="2-6" dataDxfId="249">
      <calculatedColumnFormula array="1">IF(AND(AC$2&lt;&gt;0,TblTech[[#This Row],[Hour]:[Hour]]&gt;=AC$2),1,0)</calculatedColumnFormula>
    </tableColumn>
    <tableColumn id="40" xr3:uid="{B02ACA29-3024-4B8E-B2F0-E65F48E762BF}" name="2-7" dataDxfId="248">
      <calculatedColumnFormula array="1">IF(AND(AD$2&lt;&gt;0,TblTech[[#This Row],[Hour]:[Hour]]&gt;=AD$2),1,0)</calculatedColumnFormula>
    </tableColumn>
    <tableColumn id="41" xr3:uid="{34022863-F0D7-473E-B433-052438597C70}" name="2-8" dataDxfId="247">
      <calculatedColumnFormula array="1">IF(AND(AE$2&lt;&gt;0,TblTech[[#This Row],[Hour]:[Hour]]&gt;=AE$2),1,0)</calculatedColumnFormula>
    </tableColumn>
    <tableColumn id="42" xr3:uid="{4264B147-345F-4187-898B-976D4720C3B2}" name="2-9" dataDxfId="246">
      <calculatedColumnFormula array="1">IF(AND(AF$2&lt;&gt;0,TblTech[[#This Row],[Hour]:[Hour]]&gt;=AF$2),1,0)</calculatedColumnFormula>
    </tableColumn>
    <tableColumn id="43" xr3:uid="{040A812F-9A82-4FA5-96D4-BB0CE9B1567D}" name="2-10" dataDxfId="245">
      <calculatedColumnFormula array="1">IF(AND(AG$2&lt;&gt;0,TblTech[[#This Row],[Hour]:[Hour]]&gt;=AG$2),1,0)</calculatedColumnFormula>
    </tableColumn>
    <tableColumn id="44" xr3:uid="{65E9F477-8A73-4C7D-9453-E8F8A13C4220}" name="3-1" dataDxfId="244">
      <calculatedColumnFormula array="1">IF(AND(AH$2&lt;&gt;0,TblTech[[#This Row],[Hour]:[Hour]]&gt;=AH$2),1,0)</calculatedColumnFormula>
    </tableColumn>
    <tableColumn id="45" xr3:uid="{86A8FA88-B983-4431-9D5A-9A068F2DE89C}" name="3-2" dataDxfId="243">
      <calculatedColumnFormula array="1">IF(AND(AI$2&lt;&gt;0,TblTech[[#This Row],[Hour]:[Hour]]&gt;=AI$2),1,0)</calculatedColumnFormula>
    </tableColumn>
    <tableColumn id="46" xr3:uid="{B4D6E3D7-41BB-4A05-98AF-36C706567C66}" name="3-3" dataDxfId="242">
      <calculatedColumnFormula array="1">IF(AND(AJ$2&lt;&gt;0,TblTech[[#This Row],[Hour]:[Hour]]&gt;=AJ$2),1,0)</calculatedColumnFormula>
    </tableColumn>
    <tableColumn id="47" xr3:uid="{A65655BF-F389-46E7-B712-282C9B16E721}" name="3-4" dataDxfId="241">
      <calculatedColumnFormula array="1">IF(AND(AK$2&lt;&gt;0,TblTech[[#This Row],[Hour]:[Hour]]&gt;=AK$2),1,0)</calculatedColumnFormula>
    </tableColumn>
    <tableColumn id="48" xr3:uid="{6AC53AFF-C5BC-4C6E-A226-AD750DEF26F0}" name="3-5" dataDxfId="240">
      <calculatedColumnFormula array="1">IF(AND(AL$2&lt;&gt;0,TblTech[[#This Row],[Hour]:[Hour]]&gt;=AL$2),1,0)</calculatedColumnFormula>
    </tableColumn>
    <tableColumn id="49" xr3:uid="{517C8F30-6F70-4A9F-930D-87F70A281D06}" name="3-6" dataDxfId="239">
      <calculatedColumnFormula array="1">IF(AND(AM$2&lt;&gt;0,TblTech[[#This Row],[Hour]:[Hour]]&gt;=AM$2),1,0)</calculatedColumnFormula>
    </tableColumn>
    <tableColumn id="50" xr3:uid="{3B9D0CD9-1DC1-4BF8-84D6-0C15DCE53BA3}" name="3-7" dataDxfId="238">
      <calculatedColumnFormula array="1">IF(AND(AN$2&lt;&gt;0,TblTech[[#This Row],[Hour]:[Hour]]&gt;=AN$2),1,0)</calculatedColumnFormula>
    </tableColumn>
    <tableColumn id="51" xr3:uid="{BF773A1C-6C94-4253-89D5-6B882BDABD54}" name="3-8" dataDxfId="237">
      <calculatedColumnFormula array="1">IF(AND(AO$2&lt;&gt;0,TblTech[[#This Row],[Hour]:[Hour]]&gt;=AO$2),1,0)</calculatedColumnFormula>
    </tableColumn>
    <tableColumn id="52" xr3:uid="{D719799C-D81A-4575-B1F1-9835FB72D924}" name="3-9" dataDxfId="236">
      <calculatedColumnFormula array="1">IF(AND(AP$2&lt;&gt;0,TblTech[[#This Row],[Hour]:[Hour]]&gt;=AP$2),1,0)</calculatedColumnFormula>
    </tableColumn>
    <tableColumn id="53" xr3:uid="{81CD67AD-C2F6-496B-991C-75EACF4860E0}" name="4-1" dataDxfId="235">
      <calculatedColumnFormula array="1">IF(AND(AQ$2&lt;&gt;0,TblTech[[#This Row],[Hour]:[Hour]]&gt;=AQ$2),1,0)</calculatedColumnFormula>
    </tableColumn>
    <tableColumn id="54" xr3:uid="{3255B3D4-FF8E-4B91-8A83-C128D00B29D0}" name="4-2" dataDxfId="234">
      <calculatedColumnFormula array="1">IF(AND(AR$2&lt;&gt;0,TblTech[[#This Row],[Hour]:[Hour]]&gt;=AR$2),1,0)</calculatedColumnFormula>
    </tableColumn>
    <tableColumn id="55" xr3:uid="{E9B22F56-FCCE-4890-8FF4-FF6D8C0863D0}" name="4-3" dataDxfId="233">
      <calculatedColumnFormula array="1">IF(AND(AS$2&lt;&gt;0,TblTech[[#This Row],[Hour]:[Hour]]&gt;=AS$2),1,0)</calculatedColumnFormula>
    </tableColumn>
    <tableColumn id="56" xr3:uid="{1C0A6BE0-6DBC-40E6-B512-F921E4637B0B}" name="4-4" dataDxfId="232">
      <calculatedColumnFormula array="1">IF(AND(AT$2&lt;&gt;0,TblTech[[#This Row],[Hour]:[Hour]]&gt;=AT$2),1,0)</calculatedColumnFormula>
    </tableColumn>
    <tableColumn id="57" xr3:uid="{5DAC0420-BB86-481B-957A-78DB826A7E20}" name="4-5" dataDxfId="231">
      <calculatedColumnFormula array="1">IF(AND(AU$2&lt;&gt;0,TblTech[[#This Row],[Hour]:[Hour]]&gt;=AU$2),1,0)</calculatedColumnFormula>
    </tableColumn>
    <tableColumn id="58" xr3:uid="{2442830B-618D-4A03-A6E6-23EC65BAB59B}" name="4-6" dataDxfId="230">
      <calculatedColumnFormula array="1">IF(AND(AV$2&lt;&gt;0,TblTech[[#This Row],[Hour]:[Hour]]&gt;=AV$2),1,0)</calculatedColumnFormula>
    </tableColumn>
    <tableColumn id="59" xr3:uid="{8AB48F18-B215-484F-9058-BE5431D00ED5}" name="4-7" dataDxfId="229">
      <calculatedColumnFormula array="1">IF(AND(AW$2&lt;&gt;0,TblTech[[#This Row],[Hour]:[Hour]]&gt;=AW$2),1,0)</calculatedColumnFormula>
    </tableColumn>
    <tableColumn id="60" xr3:uid="{3B7FB99A-0607-4DBC-A93C-47B6B21464A5}" name="4-8" dataDxfId="228">
      <calculatedColumnFormula array="1">IF(AND(AX$2&lt;&gt;0,TblTech[[#This Row],[Hour]:[Hour]]&gt;=AX$2),1,0)</calculatedColumnFormula>
    </tableColumn>
    <tableColumn id="61" xr3:uid="{CFAAB1A4-4760-4FF3-BF0E-D276BAEF346A}" name="5-1" dataDxfId="227">
      <calculatedColumnFormula array="1">IF(AND(AY$2&lt;&gt;0,TblTech[[#This Row],[Hour]:[Hour]]&gt;=AY$2),1,0)</calculatedColumnFormula>
    </tableColumn>
    <tableColumn id="62" xr3:uid="{E5F62076-AF81-4EE1-A6D2-C4FBF4181C93}" name="5-2" dataDxfId="226">
      <calculatedColumnFormula array="1">IF(AND(AZ$2&lt;&gt;0,TblTech[[#This Row],[Hour]:[Hour]]&gt;=AZ$2),1,0)</calculatedColumnFormula>
    </tableColumn>
    <tableColumn id="63" xr3:uid="{EE3346E8-7A22-4F0A-94B7-B36570A0B72E}" name="5-3" dataDxfId="225">
      <calculatedColumnFormula array="1">IF(AND(BA$2&lt;&gt;0,TblTech[[#This Row],[Hour]:[Hour]]&gt;=BA$2),1,0)</calculatedColumnFormula>
    </tableColumn>
    <tableColumn id="64" xr3:uid="{19F3E157-570E-4E1E-BCC2-3EF92D7B8A8B}" name="5-4" dataDxfId="224">
      <calculatedColumnFormula array="1">IF(AND(BB$2&lt;&gt;0,TblTech[[#This Row],[Hour]:[Hour]]&gt;=BB$2),1,0)</calculatedColumnFormula>
    </tableColumn>
    <tableColumn id="65" xr3:uid="{A59D5D3A-678C-49C4-A3B5-D86FF0C14500}" name="5-5" dataDxfId="223">
      <calculatedColumnFormula array="1">IF(AND(BC$2&lt;&gt;0,TblTech[[#This Row],[Hour]:[Hour]]&gt;=BC$2),1,0)</calculatedColumnFormula>
    </tableColumn>
    <tableColumn id="66" xr3:uid="{3EBEC9F5-18F1-461D-AF3F-E66DA870B9ED}" name="5-6" dataDxfId="222">
      <calculatedColumnFormula array="1">IF(AND(BD$2&lt;&gt;0,TblTech[[#This Row],[Hour]:[Hour]]&gt;=BD$2),1,0)</calculatedColumnFormula>
    </tableColumn>
    <tableColumn id="67" xr3:uid="{20985549-198B-4F2A-AF78-070BD8A22298}" name="5-7" dataDxfId="221">
      <calculatedColumnFormula array="1">IF(AND(BE$2&lt;&gt;0,TblTech[[#This Row],[Hour]:[Hour]]&gt;=BE$2),1,0)</calculatedColumnFormula>
    </tableColumn>
    <tableColumn id="68" xr3:uid="{F4DDB15D-3A5D-449E-8491-EA836A4AB090}" name="6-1" dataDxfId="220">
      <calculatedColumnFormula array="1">IF(AND(BF$2&lt;&gt;0,TblTech[[#This Row],[Hour]:[Hour]]&gt;=BF$2),1,0)</calculatedColumnFormula>
    </tableColumn>
    <tableColumn id="69" xr3:uid="{CC7E2300-DCD5-46C6-AD93-8F283F035DAF}" name="6-2" dataDxfId="219">
      <calculatedColumnFormula array="1">IF(AND(BG$2&lt;&gt;0,TblTech[[#This Row],[Hour]:[Hour]]&gt;=BG$2),1,0)</calculatedColumnFormula>
    </tableColumn>
    <tableColumn id="70" xr3:uid="{0DC5B532-84DD-40E3-9A96-3B7ED120C52C}" name="6-3" dataDxfId="218">
      <calculatedColumnFormula array="1">IF(AND(BH$2&lt;&gt;0,TblTech[[#This Row],[Hour]:[Hour]]&gt;=BH$2),1,0)</calculatedColumnFormula>
    </tableColumn>
    <tableColumn id="71" xr3:uid="{DBF8F56A-2B38-47BE-86BB-D34F12B071FA}" name="6-4" dataDxfId="217">
      <calculatedColumnFormula array="1">IF(AND(BI$2&lt;&gt;0,TblTech[[#This Row],[Hour]:[Hour]]&gt;=BI$2),1,0)</calculatedColumnFormula>
    </tableColumn>
    <tableColumn id="72" xr3:uid="{8A63D20A-B735-48C5-9D04-93C0E6922380}" name="6-5" dataDxfId="216">
      <calculatedColumnFormula array="1">IF(AND(BJ$2&lt;&gt;0,TblTech[[#This Row],[Hour]:[Hour]]&gt;=BJ$2),1,0)</calculatedColumnFormula>
    </tableColumn>
    <tableColumn id="73" xr3:uid="{40ABCA6E-09C4-437C-8184-D2AA8A46BADC}" name="6-6" dataDxfId="215">
      <calculatedColumnFormula array="1">IF(AND(BK$2&lt;&gt;0,TblTech[[#This Row],[Hour]:[Hour]]&gt;=BK$2),1,0)</calculatedColumnFormula>
    </tableColumn>
    <tableColumn id="74" xr3:uid="{304D27FC-5054-456F-9FA0-3E170324E735}" name="7-1" dataDxfId="214">
      <calculatedColumnFormula array="1">IF(AND(BL$2&lt;&gt;0,TblTech[[#This Row],[Hour]:[Hour]]&gt;=BL$2),1,0)</calculatedColumnFormula>
    </tableColumn>
    <tableColumn id="75" xr3:uid="{F53A9B26-BE5F-4442-9E77-570EB38C7B2D}" name="7-2" dataDxfId="213">
      <calculatedColumnFormula array="1">IF(AND(BM$2&lt;&gt;0,TblTech[[#This Row],[Hour]:[Hour]]&gt;=BM$2),1,0)</calculatedColumnFormula>
    </tableColumn>
    <tableColumn id="76" xr3:uid="{5A1C0BCB-6C77-48A3-8B36-DA0838BEFD4F}" name="7-3" dataDxfId="212">
      <calculatedColumnFormula array="1">IF(AND(BN$2&lt;&gt;0,TblTech[[#This Row],[Hour]:[Hour]]&gt;=BN$2),1,0)</calculatedColumnFormula>
    </tableColumn>
    <tableColumn id="77" xr3:uid="{96D50B4B-A1C4-4AE1-87EE-409B3128CB4D}" name="7-4" dataDxfId="211">
      <calculatedColumnFormula array="1">IF(AND(BO$2&lt;&gt;0,TblTech[[#This Row],[Hour]:[Hour]]&gt;=BO$2),1,0)</calculatedColumnFormula>
    </tableColumn>
    <tableColumn id="78" xr3:uid="{64A36F5D-65DB-44C8-84EC-A1A1FFF2B3AB}" name="7-5" dataDxfId="210">
      <calculatedColumnFormula array="1">IF(AND(BP$2&lt;&gt;0,TblTech[[#This Row],[Hour]:[Hour]]&gt;=BP$2),1,0)</calculatedColumnFormula>
    </tableColumn>
    <tableColumn id="79" xr3:uid="{73D8C7B5-D3FC-4DB3-BB3C-6A056F59A2A0}" name="8-1" dataDxfId="209">
      <calculatedColumnFormula array="1">IF(AND(BQ$2&lt;&gt;0,TblTech[[#This Row],[Hour]:[Hour]]&gt;=BQ$2),1,0)</calculatedColumnFormula>
    </tableColumn>
    <tableColumn id="80" xr3:uid="{8C8F01C9-13ED-4ABA-B4ED-5D892B20A077}" name="8-2" dataDxfId="208">
      <calculatedColumnFormula array="1">IF(AND(BR$2&lt;&gt;0,TblTech[[#This Row],[Hour]:[Hour]]&gt;=BR$2),1,0)</calculatedColumnFormula>
    </tableColumn>
    <tableColumn id="81" xr3:uid="{954DF58F-2216-42C3-A4F3-4A1B568C8A7F}" name="8-3" dataDxfId="207">
      <calculatedColumnFormula array="1">IF(AND(BS$2&lt;&gt;0,TblTech[[#This Row],[Hour]:[Hour]]&gt;=BS$2),1,0)</calculatedColumnFormula>
    </tableColumn>
    <tableColumn id="82" xr3:uid="{941FAEC7-7D7C-4C75-9F8E-BB3469E2F29F}" name="8-4" dataDxfId="206">
      <calculatedColumnFormula array="1">IF(AND(BT$2&lt;&gt;0,TblTech[[#This Row],[Hour]:[Hour]]&gt;=BT$2),1,0)</calculatedColumnFormula>
    </tableColumn>
    <tableColumn id="83" xr3:uid="{27C9395E-8B81-4CBA-8523-A330679CAE04}" name="9-1" dataDxfId="205">
      <calculatedColumnFormula array="1">IF(AND(BU$2&lt;&gt;0,TblTech[[#This Row],[Hour]:[Hour]]&gt;=BU$2),1,0)</calculatedColumnFormula>
    </tableColumn>
    <tableColumn id="84" xr3:uid="{90667EBE-7747-4976-9947-BD9386AEC90C}" name="9-2" dataDxfId="204">
      <calculatedColumnFormula array="1">IF(AND(BV$2&lt;&gt;0,TblTech[[#This Row],[Hour]:[Hour]]&gt;=BV$2),1,0)</calculatedColumnFormula>
    </tableColumn>
    <tableColumn id="85" xr3:uid="{8AA93356-F62A-4D0B-B2F8-5CADB2567ECF}" name="9-3" dataDxfId="203">
      <calculatedColumnFormula array="1">IF(AND(BW$2&lt;&gt;0,TblTech[[#This Row],[Hour]:[Hour]]&gt;=BW$2),1,0)</calculatedColumnFormula>
    </tableColumn>
    <tableColumn id="86" xr3:uid="{C66AB8D9-7BBC-415A-8732-B5DF0FF2495D}" name="10-1" dataDxfId="202">
      <calculatedColumnFormula array="1">IF(AND(BX$2&lt;&gt;0,TblTech[[#This Row],[Hour]:[Hour]]&gt;=BX$2),1,0)</calculatedColumnFormula>
    </tableColumn>
    <tableColumn id="87" xr3:uid="{13FA2B9A-3F31-4A51-9E2B-753CC6C8AA88}" name="10-2" dataDxfId="201">
      <calculatedColumnFormula array="1">IF(AND(BY$2&lt;&gt;0,TblTech[[#This Row],[Hour]:[Hour]]&gt;=BY$2),1,0)</calculatedColumnFormula>
    </tableColumn>
    <tableColumn id="88" xr3:uid="{D4F65702-E3D7-4783-B103-20F8DD7E4532}" name="11-1" dataDxfId="200">
      <calculatedColumnFormula array="1">IF(AND(BZ$2&lt;&gt;0,TblTech[[#This Row],[Hour]:[Hour]]&gt;=BZ$2),1,0)</calculatedColumnFormula>
    </tableColumn>
    <tableColumn id="89" xr3:uid="{0428044E-0525-4B76-80C9-2D449BDFDA1D}" name="Tech" dataDxfId="199">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98" dataDxfId="196" headerRowBorderDxfId="197" tableBorderDxfId="195">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94">
      <calculatedColumnFormula>TblConstr[[#This Row],[Land]]</calculatedColumnFormula>
    </tableColumn>
    <tableColumn id="2" xr3:uid="{AF6EC8F3-9D95-46FD-B967-FAAF3638AE73}" name="." dataDxfId="193"/>
    <tableColumn id="3" xr3:uid="{FF282ACC-05AC-4142-89E7-09EE52E6FD72}" name="Platinum" dataDxfId="192">
      <calculatedColumnFormula>TblProd[[#This Row],[Platinum]]</calculatedColumnFormula>
    </tableColumn>
    <tableColumn id="4" xr3:uid="{F2178B14-2531-41FE-8DC7-F919571A183A}" name="Lumber" dataDxfId="191">
      <calculatedColumnFormula>TblProd[[#This Row],[Lumber]]</calculatedColumnFormula>
    </tableColumn>
    <tableColumn id="5" xr3:uid="{E437C993-EDEE-4BB3-942B-73180B524B81}" name="Ore" dataDxfId="190">
      <calculatedColumnFormula>TblProd[[#This Row],[Ore]]</calculatedColumnFormula>
    </tableColumn>
    <tableColumn id="6" xr3:uid="{C515063B-AE7C-4BAF-93AB-7443CE68AC54}" name="Gems" dataDxfId="189">
      <calculatedColumnFormula>TblProd[[#This Row],[Gems]]</calculatedColumnFormula>
    </tableColumn>
    <tableColumn id="7" xr3:uid="{935F3905-1AC4-42EE-8A78-476F2F815DFD}" name=".." dataDxfId="188"/>
    <tableColumn id="8" xr3:uid="{A8E01FC0-2F13-4C73-B50D-1FA1083B0FFA}" name="Drafees" dataDxfId="187">
      <calculatedColumnFormula>TblMili[[#This Row],[Draftees]]</calculatedColumnFormula>
    </tableColumn>
    <tableColumn id="9" xr3:uid="{FF70B178-883B-4FA3-B446-2BB364451655}" name="Employed" dataDxfId="186" dataCellStyle="Percent">
      <calculatedColumnFormula>TblPop[[#This Row],[Employment]]</calculatedColumnFormula>
    </tableColumn>
    <tableColumn id="10" xr3:uid="{8AB351E3-8FED-4F8D-951B-AA2D279B0091}" name="Population" dataDxfId="185" dataCellStyle="Percent">
      <calculatedColumnFormula>TblPop[[#This Row],[Total]]/TblPop[[#This Row],[Net max]]</calculatedColumnFormula>
    </tableColumn>
    <tableColumn id="11" xr3:uid="{3D13675F-4203-4882-AC02-B7629E90679D}" name="Hour" dataDxfId="184" dataCellStyle="Percent">
      <calculatedColumnFormula>TblRezone[[#This Row],[Hour]]</calculatedColumnFormula>
    </tableColumn>
    <tableColumn id="12" xr3:uid="{50E3FF0B-DB5B-4715-971A-2D8F804DD3F4}" name="Time" dataDxfId="183" dataCellStyle="Percent">
      <calculatedColumnFormula>TblImps[[#This Row],[Real time]]</calculatedColumnFormula>
    </tableColumn>
    <tableColumn id="13" xr3:uid="{33373A28-E349-4A6C-946C-A172D9829897}" name="Login" dataDxfId="182">
      <calculatedColumnFormula>IF(ISERROR(TblImps[[#This Row],[algorithm]]),0,TblImps[[#This Row],[algorithm]]*1)</calculatedColumnFormula>
    </tableColumn>
    <tableColumn id="14" xr3:uid="{820813AE-0D29-4E3D-B99A-7C5B810B4DA6}" name="Land (3)" dataDxfId="181">
      <calculatedColumnFormula>TblImps[[#This Row],[Land]]</calculatedColumnFormula>
    </tableColumn>
    <tableColumn id="15" xr3:uid="{D8234223-045A-48CE-8E60-8B1B718D1273}" name="Resource" dataDxfId="180"/>
    <tableColumn id="16" xr3:uid="{9AB57DEC-DF25-44AD-97D1-1EF820C63FF2}" name="Amount" dataDxfId="179"/>
    <tableColumn id="17" xr3:uid="{1ECA1762-52EB-4370-862C-42E5B7F71087}" name="Part" dataDxfId="178"/>
    <tableColumn id="18" xr3:uid="{45AD7F60-4F2F-47B2-8046-04C9C5A445EE}" name="Resource 2" dataDxfId="177"/>
    <tableColumn id="19" xr3:uid="{1D8720C7-5940-4FF1-AF3B-FB70E475E9BA}" name="Amount 2" dataDxfId="176"/>
    <tableColumn id="20" xr3:uid="{1AF884E5-0A32-404F-8142-8BDFCA31C5EF}" name="Part 2" dataDxfId="175"/>
    <tableColumn id="21" xr3:uid="{FFCC36EF-B2F1-46BE-827C-260D53435D8F}" name="Resource 3" dataDxfId="174"/>
    <tableColumn id="22" xr3:uid="{AAD98AF1-A248-4594-A8A2-ADB665DABE8F}" name="Amount 3" dataDxfId="173"/>
    <tableColumn id="23" xr3:uid="{5BDF5795-C792-45A5-AC6D-35BE17C06BBC}" name="Part 3" dataDxfId="172"/>
    <tableColumn id="24" xr3:uid="{AB1402EA-4B4E-4F7F-B76D-14CCFC4BF881}" name="…" dataDxfId="171"/>
    <tableColumn id="25" xr3:uid="{C82B3C56-E90F-4536-A41D-465C61544B49}" name="Science" dataDxfId="170">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169">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168">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167">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166">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165">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164"/>
    <tableColumn id="32" xr3:uid="{C7C4061A-6DA9-4687-A437-B442C90A5089}" name="Σ Science" dataDxfId="163">
      <calculatedColumnFormula>(1+Overview!$I$28)*SUM(TblImps[[#This Row],[P2]:[G2]])+OFFSET(TblImps[[#This Row],[Σ Science]],-1,0)</calculatedColumnFormula>
    </tableColumn>
    <tableColumn id="33" xr3:uid="{87424BBC-4CC9-4173-85AC-5C6A6ECFFB84}" name="Σ Keep" dataDxfId="162">
      <calculatedColumnFormula>(1+Overview!$I$28)*SUM(TblImps[[#This Row],[P3]:[G3]])+OFFSET(TblImps[[#This Row],[Σ Keep]],-1,0)</calculatedColumnFormula>
    </tableColumn>
    <tableColumn id="34" xr3:uid="{3DB81FE6-4CBC-4F36-973D-C8F8D1BD09A1}" name="Σ Towers" dataDxfId="161">
      <calculatedColumnFormula>(1+Overview!$I$28 + tech_7_1*TblTech[[#This Row],[7-1]])*SUM(TblImps[[#This Row],[P4]:[G4]])+OFFSET(TblImps[[#This Row],[Σ Towers]],-1,0)</calculatedColumnFormula>
    </tableColumn>
    <tableColumn id="35" xr3:uid="{485A62F9-7EE3-40A9-BDA7-9F3E4E3EC0E1}" name="Σ Forges" dataDxfId="160">
      <calculatedColumnFormula>(1+Overview!$I$28)*SUM(TblImps[[#This Row],[P5]:[G5]])+OFFSET(TblImps[[#This Row],[Σ Forges]],-1,0)</calculatedColumnFormula>
    </tableColumn>
    <tableColumn id="36" xr3:uid="{CEDFD8F7-5AA6-4236-AE0F-14B6F23AE524}" name="Σ Walls" dataDxfId="159">
      <calculatedColumnFormula>(1+Overview!$I$28)*SUM(TblImps[[#This Row],[P6]:[G6]])+OFFSET(TblImps[[#This Row],[Σ Walls]],-1,0)</calculatedColumnFormula>
    </tableColumn>
    <tableColumn id="37" xr3:uid="{1C140D1F-1021-4314-82BD-7176A05B078C}" name="Σ Irrigation" dataDxfId="158">
      <calculatedColumnFormula>(1+Overview!$I$28 + tech_7_1*TblTech[[#This Row],[7-1]])*SUM(TblImps[[#This Row],[P7]:[G7]])+OFFSET(TblImps[[#This Row],[Σ Irrigation]],-1,0)</calculatedColumnFormula>
    </tableColumn>
    <tableColumn id="38" xr3:uid="{808772B5-D74B-4C2E-9369-56BA268972E4}" name="….." dataDxfId="157"/>
    <tableColumn id="39" xr3:uid="{A732ACBF-AEA8-4BC8-8A5C-C0F5525B84B4}" name="P1" dataDxfId="156">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155">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154">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153">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152"/>
    <tableColumn id="44" xr3:uid="{B4E4C91D-5302-4D99-9223-7DC08C0F56E2}" name="P2" dataDxfId="151">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150">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149">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148">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147"/>
    <tableColumn id="49" xr3:uid="{2713D17E-C072-4464-ACFB-1E3B4E4768C8}" name="P3" dataDxfId="146">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145">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144">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143">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142"/>
    <tableColumn id="54" xr3:uid="{60744F8B-EA90-4F3F-908D-1DBF81E4FBBC}" name="P4" dataDxfId="141">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140">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139">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138">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137"/>
    <tableColumn id="59" xr3:uid="{7CAD4FEB-38C3-4ECC-9BB4-566F90D38057}" name="P5" dataDxfId="136">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135">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134">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133">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132"/>
    <tableColumn id="64" xr3:uid="{74BD3EE9-84CB-4606-9851-F46947A6E124}" name="P6" dataDxfId="131">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130">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129">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128">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127"/>
    <tableColumn id="69" xr3:uid="{C84893E8-5E85-463B-9E51-879ADAA64B83}" name="P7" dataDxfId="126">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125">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124">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123">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122"/>
    <tableColumn id="74" xr3:uid="{5E81B67E-95F1-40DA-AE37-BCD09DA9E039}" name="algorithm" dataDxfId="121">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120">
      <calculatedColumnFormula>TblImps[[#This Row],[Login]]</calculatedColumnFormula>
    </tableColumn>
    <tableColumn id="76" xr3:uid="{373275D8-3CBB-4F26-950F-26616E92A24E}" name="….........." dataDxfId="119"/>
    <tableColumn id="77" xr3:uid="{E49F0585-8289-43E9-991C-7685E6B37B5A}" name="Real time" dataDxfId="118">
      <calculatedColumnFormula>OFFSET(TblImps[[#This Row],[Real time]],-1,0)+1/24</calculatedColumnFormula>
    </tableColumn>
    <tableColumn id="78" xr3:uid="{9298E765-5AD3-4871-BC34-97C5588F3D7E}" name="Servertime" dataDxfId="117">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116" dataDxfId="115">
  <autoFilter ref="B2:E23" xr:uid="{D5B14ACA-C49B-4874-B495-C20CC986FF5C}"/>
  <tableColumns count="4">
    <tableColumn id="1" xr3:uid="{FDF1E222-5EC6-4F67-8D2F-219358D518C5}" name="Stats" dataDxfId="114"/>
    <tableColumn id="9" xr3:uid="{92C958C2-2DCD-4CDD-88AA-98294134A916}" name="Abbr" dataDxfId="113"/>
    <tableColumn id="2" xr3:uid="{1E0B1FDB-30FB-48CA-BD3D-8DF2FCB4975C}" name="Number" dataDxfId="112">
      <calculatedColumnFormula>_xlfn.IFNA(INDEX(TblConstr[],MATCH(Log!$I$28,TblConstr[Hour],0),MATCH(TblStats[[#This Row],[Abbr]],TblConstr[#Headers],0)),0)</calculatedColumnFormula>
    </tableColumn>
    <tableColumn id="3" xr3:uid="{ADBF0C8B-030F-4EBA-8274-EAA1CE134BB1}" name="Percent" dataDxfId="111"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110" dataDxfId="109" tableBorderDxfId="108">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107"/>
    <tableColumn id="2" xr3:uid="{00000000-0010-0000-0100-000002000000}" name="Alignment" dataDxfId="106"/>
    <tableColumn id="3" xr3:uid="{00000000-0010-0000-0100-000003000000}" name="Homeland_Type" dataDxfId="105"/>
    <tableColumn id="4" xr3:uid="{00000000-0010-0000-0100-000004000000}" name="Unitname" dataDxfId="104"/>
    <tableColumn id="5" xr3:uid="{00000000-0010-0000-0100-000005000000}" name="OffensePwr" dataDxfId="103"/>
    <tableColumn id="6" xr3:uid="{00000000-0010-0000-0100-000006000000}" name="DefensePwr" dataDxfId="102"/>
    <tableColumn id="7" xr3:uid="{00000000-0010-0000-0100-000007000000}" name="Platcost" dataDxfId="101"/>
    <tableColumn id="8" xr3:uid="{00000000-0010-0000-0100-000008000000}" name="Orecost" dataDxfId="100"/>
    <tableColumn id="9" xr3:uid="{00000000-0010-0000-0100-000009000000}" name="Networth" dataDxfId="99"/>
    <tableColumn id="12" xr3:uid="{00000000-0010-0000-0100-00000C000000}" name="Max population" dataDxfId="98"/>
    <tableColumn id="13" xr3:uid="{00000000-0010-0000-0100-00000D000000}" name="Pop growth" dataDxfId="97"/>
    <tableColumn id="14" xr3:uid="{00000000-0010-0000-0100-00000E000000}" name="Platinum prod" dataDxfId="96"/>
    <tableColumn id="15" xr3:uid="{00000000-0010-0000-0100-00000F000000}" name="Food prod" dataDxfId="95"/>
    <tableColumn id="16" xr3:uid="{00000000-0010-0000-0100-000010000000}" name="Lumber prod" dataDxfId="94"/>
    <tableColumn id="17" xr3:uid="{00000000-0010-0000-0100-000011000000}" name="Mana prod" dataDxfId="93"/>
    <tableColumn id="18" xr3:uid="{00000000-0010-0000-0100-000012000000}" name="Ore prod" dataDxfId="92"/>
    <tableColumn id="19" xr3:uid="{00000000-0010-0000-0100-000013000000}" name="Gem prod" dataDxfId="91"/>
    <tableColumn id="20" xr3:uid="{00000000-0010-0000-0100-000014000000}" name="Food cons" dataDxfId="90"/>
    <tableColumn id="21" xr3:uid="{00000000-0010-0000-0100-000015000000}" name="Defense" dataDxfId="89"/>
    <tableColumn id="22" xr3:uid="{00000000-0010-0000-0100-000016000000}" name="Offense" dataDxfId="88"/>
    <tableColumn id="23" xr3:uid="{00000000-0010-0000-0100-000017000000}" name="Spy strength" dataDxfId="87"/>
    <tableColumn id="24" xr3:uid="{00000000-0010-0000-0100-000018000000}" name="Wizard strength" dataDxfId="86"/>
    <tableColumn id="25" xr3:uid="{00000000-0010-0000-0100-000019000000}" name="Invest bonus" dataDxfId="85"/>
    <tableColumn id="26" xr3:uid="{00000000-0010-0000-0100-00001A000000}" name="Rezone Cost" dataDxfId="84" dataCellStyle="Percent"/>
    <tableColumn id="27" xr3:uid="{00000000-0010-0000-0100-00001B000000}" name="Construction Cost" dataDxfId="83"/>
    <tableColumn id="28" xr3:uid="{00000000-0010-0000-0100-00001C000000}" name="Research" dataDxfId="82"/>
    <tableColumn id="10" xr3:uid="{93A4F69F-9C60-42FB-B0E6-B78AAB579797}" name="Explore Cost" dataDxfId="81"/>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80" dataDxfId="79">
  <autoFilter ref="D89:D95" xr:uid="{00000000-0009-0000-0100-000002000000}"/>
  <tableColumns count="1">
    <tableColumn id="1" xr3:uid="{00000000-0010-0000-0200-000001000000}" name="waves:" dataDxfId="78"/>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2" t="s">
        <v>457</v>
      </c>
      <c r="B1" s="552"/>
      <c r="C1" s="552"/>
      <c r="D1" s="552"/>
      <c r="E1" s="552"/>
      <c r="F1" s="552"/>
      <c r="G1" s="552"/>
      <c r="H1" s="552"/>
      <c r="I1" s="552"/>
      <c r="J1" s="552"/>
      <c r="K1" s="552"/>
      <c r="L1" s="553"/>
      <c r="M1" s="560" t="s">
        <v>1068</v>
      </c>
      <c r="N1" s="561"/>
      <c r="O1" s="562"/>
    </row>
    <row r="2" spans="1:15" s="48" customFormat="1" ht="12.75" customHeight="1" x14ac:dyDescent="0.2">
      <c r="A2" s="587" t="s">
        <v>1112</v>
      </c>
      <c r="B2" s="588"/>
      <c r="C2" s="588"/>
      <c r="D2" s="588"/>
      <c r="E2" s="588"/>
      <c r="F2" s="588"/>
      <c r="G2" s="588"/>
      <c r="H2" s="588"/>
      <c r="I2" s="588"/>
      <c r="J2" s="588"/>
      <c r="K2" s="588"/>
      <c r="L2" s="589"/>
      <c r="M2" s="575" t="s">
        <v>1113</v>
      </c>
      <c r="N2" s="576"/>
      <c r="O2" s="577"/>
    </row>
    <row r="3" spans="1:15" s="48" customFormat="1" x14ac:dyDescent="0.2">
      <c r="A3" s="587"/>
      <c r="B3" s="588"/>
      <c r="C3" s="588"/>
      <c r="D3" s="588"/>
      <c r="E3" s="588"/>
      <c r="F3" s="588"/>
      <c r="G3" s="588"/>
      <c r="H3" s="588"/>
      <c r="I3" s="588"/>
      <c r="J3" s="588"/>
      <c r="K3" s="588"/>
      <c r="L3" s="589"/>
      <c r="M3" s="575"/>
      <c r="N3" s="576"/>
      <c r="O3" s="577"/>
    </row>
    <row r="4" spans="1:15" s="48" customFormat="1" x14ac:dyDescent="0.2">
      <c r="A4" s="587"/>
      <c r="B4" s="588"/>
      <c r="C4" s="588"/>
      <c r="D4" s="588"/>
      <c r="E4" s="588"/>
      <c r="F4" s="588"/>
      <c r="G4" s="588"/>
      <c r="H4" s="588"/>
      <c r="I4" s="588"/>
      <c r="J4" s="588"/>
      <c r="K4" s="588"/>
      <c r="L4" s="589"/>
      <c r="M4" s="575"/>
      <c r="N4" s="576"/>
      <c r="O4" s="577"/>
    </row>
    <row r="5" spans="1:15" s="48" customFormat="1" x14ac:dyDescent="0.2">
      <c r="A5" s="587"/>
      <c r="B5" s="588"/>
      <c r="C5" s="588"/>
      <c r="D5" s="588"/>
      <c r="E5" s="588"/>
      <c r="F5" s="588"/>
      <c r="G5" s="588"/>
      <c r="H5" s="588"/>
      <c r="I5" s="588"/>
      <c r="J5" s="588"/>
      <c r="K5" s="588"/>
      <c r="L5" s="589"/>
      <c r="M5" s="575"/>
      <c r="N5" s="576"/>
      <c r="O5" s="577"/>
    </row>
    <row r="6" spans="1:15" s="48" customFormat="1" x14ac:dyDescent="0.2">
      <c r="A6" s="587"/>
      <c r="B6" s="588"/>
      <c r="C6" s="588"/>
      <c r="D6" s="588"/>
      <c r="E6" s="588"/>
      <c r="F6" s="588"/>
      <c r="G6" s="588"/>
      <c r="H6" s="588"/>
      <c r="I6" s="588"/>
      <c r="J6" s="588"/>
      <c r="K6" s="588"/>
      <c r="L6" s="589"/>
      <c r="M6" s="575"/>
      <c r="N6" s="576"/>
      <c r="O6" s="577"/>
    </row>
    <row r="7" spans="1:15" s="48" customFormat="1" ht="13.5" thickBot="1" x14ac:dyDescent="0.25">
      <c r="A7" s="590"/>
      <c r="B7" s="591"/>
      <c r="C7" s="591"/>
      <c r="D7" s="591"/>
      <c r="E7" s="591"/>
      <c r="F7" s="591"/>
      <c r="G7" s="591"/>
      <c r="H7" s="591"/>
      <c r="I7" s="591"/>
      <c r="J7" s="591"/>
      <c r="K7" s="591"/>
      <c r="L7" s="592"/>
      <c r="M7" s="575"/>
      <c r="N7" s="576"/>
      <c r="O7" s="577"/>
    </row>
    <row r="8" spans="1:15" s="48" customFormat="1" ht="15.75" x14ac:dyDescent="0.2">
      <c r="A8" s="554" t="s">
        <v>456</v>
      </c>
      <c r="B8" s="555"/>
      <c r="C8" s="555"/>
      <c r="D8" s="555"/>
      <c r="E8" s="555"/>
      <c r="F8" s="555"/>
      <c r="G8" s="555"/>
      <c r="H8" s="555"/>
      <c r="I8" s="556"/>
      <c r="J8" s="563" t="s">
        <v>1114</v>
      </c>
      <c r="K8" s="564"/>
      <c r="L8" s="565"/>
      <c r="M8" s="578"/>
      <c r="N8" s="579"/>
      <c r="O8" s="580"/>
    </row>
    <row r="9" spans="1:15" s="48" customFormat="1" ht="12.75" customHeight="1" x14ac:dyDescent="0.2">
      <c r="A9" s="557" t="s">
        <v>1067</v>
      </c>
      <c r="B9" s="558"/>
      <c r="C9" s="558"/>
      <c r="D9" s="558"/>
      <c r="E9" s="558"/>
      <c r="F9" s="558"/>
      <c r="G9" s="558"/>
      <c r="H9" s="558"/>
      <c r="I9" s="558"/>
      <c r="J9" s="566"/>
      <c r="K9" s="567"/>
      <c r="L9" s="568"/>
      <c r="M9" s="578"/>
      <c r="N9" s="579"/>
      <c r="O9" s="580"/>
    </row>
    <row r="10" spans="1:15" s="48" customFormat="1" ht="12.75" customHeight="1" x14ac:dyDescent="0.2">
      <c r="A10" s="557"/>
      <c r="B10" s="558"/>
      <c r="C10" s="558"/>
      <c r="D10" s="558"/>
      <c r="E10" s="558"/>
      <c r="F10" s="558"/>
      <c r="G10" s="558"/>
      <c r="H10" s="558"/>
      <c r="I10" s="558"/>
      <c r="J10" s="566"/>
      <c r="K10" s="567"/>
      <c r="L10" s="568"/>
      <c r="M10" s="578"/>
      <c r="N10" s="579"/>
      <c r="O10" s="580"/>
    </row>
    <row r="11" spans="1:15" s="48" customFormat="1" ht="12.75" customHeight="1" x14ac:dyDescent="0.2">
      <c r="A11" s="557"/>
      <c r="B11" s="558"/>
      <c r="C11" s="558"/>
      <c r="D11" s="558"/>
      <c r="E11" s="558"/>
      <c r="F11" s="558"/>
      <c r="G11" s="558"/>
      <c r="H11" s="558"/>
      <c r="I11" s="558"/>
      <c r="J11" s="566"/>
      <c r="K11" s="567"/>
      <c r="L11" s="568"/>
      <c r="M11" s="578"/>
      <c r="N11" s="579"/>
      <c r="O11" s="580"/>
    </row>
    <row r="12" spans="1:15" s="48" customFormat="1" ht="28.5" customHeight="1" thickBot="1" x14ac:dyDescent="0.25">
      <c r="A12" s="557"/>
      <c r="B12" s="558"/>
      <c r="C12" s="558"/>
      <c r="D12" s="558"/>
      <c r="E12" s="558"/>
      <c r="F12" s="558"/>
      <c r="G12" s="558"/>
      <c r="H12" s="558"/>
      <c r="I12" s="558"/>
      <c r="J12" s="569"/>
      <c r="K12" s="570"/>
      <c r="L12" s="571"/>
      <c r="M12" s="581"/>
      <c r="N12" s="582"/>
      <c r="O12" s="583"/>
    </row>
    <row r="13" spans="1:15" s="48" customFormat="1" ht="25.5" customHeight="1" thickBot="1" x14ac:dyDescent="0.25">
      <c r="A13" s="584" t="s">
        <v>262</v>
      </c>
      <c r="B13" s="585"/>
      <c r="C13" s="586"/>
      <c r="D13" s="586"/>
      <c r="E13" s="586"/>
      <c r="F13" s="586"/>
      <c r="G13" s="586"/>
      <c r="H13" s="586"/>
      <c r="I13" s="586"/>
      <c r="J13" s="586"/>
      <c r="K13" s="586"/>
      <c r="L13" s="586"/>
      <c r="M13" s="586"/>
      <c r="N13" s="586"/>
      <c r="O13" s="586"/>
    </row>
    <row r="14" spans="1:15" s="58" customFormat="1" ht="12.75" customHeight="1" x14ac:dyDescent="0.2">
      <c r="A14" s="49" t="s">
        <v>28</v>
      </c>
      <c r="B14" s="168" t="s">
        <v>89</v>
      </c>
      <c r="C14" s="50"/>
      <c r="D14" s="51" t="s">
        <v>328</v>
      </c>
      <c r="E14" s="51" t="s">
        <v>791</v>
      </c>
      <c r="F14" s="52"/>
      <c r="G14" s="52"/>
      <c r="H14" s="53" t="s">
        <v>494</v>
      </c>
      <c r="I14" s="54" t="s">
        <v>212</v>
      </c>
      <c r="J14" s="55"/>
      <c r="K14" s="56"/>
      <c r="L14" s="52"/>
      <c r="M14" s="52"/>
      <c r="N14" s="52"/>
      <c r="O14" s="57"/>
    </row>
    <row r="15" spans="1:15" s="48" customFormat="1" ht="12.75" customHeight="1" x14ac:dyDescent="0.2">
      <c r="A15" s="59" t="s">
        <v>454</v>
      </c>
      <c r="B15" s="169">
        <v>44681</v>
      </c>
      <c r="D15" s="59" t="s">
        <v>329</v>
      </c>
      <c r="E15" s="60">
        <f>B15+(1+B16-1)/24+B18-6/24</f>
        <v>44680.75</v>
      </c>
      <c r="H15" s="59" t="s">
        <v>169</v>
      </c>
      <c r="I15" s="61">
        <f>INDEX(TblRaces[[Max population]:[Explore Cost]],MATCH(race,TblRaces[Race],0),MATCH(Table4[[#This Row],[Race Bonuses]],TblRaces[[#Headers],[Max population]:[Explore Cost]],0))</f>
        <v>0</v>
      </c>
      <c r="K15" s="62" t="s">
        <v>433</v>
      </c>
      <c r="O15" s="63"/>
    </row>
    <row r="16" spans="1:15" s="48" customFormat="1" ht="12.75" customHeight="1" thickBot="1" x14ac:dyDescent="0.25">
      <c r="A16" s="49" t="s">
        <v>325</v>
      </c>
      <c r="B16" s="170">
        <v>0</v>
      </c>
      <c r="C16" s="48" t="s">
        <v>534</v>
      </c>
      <c r="D16" s="59" t="s">
        <v>322</v>
      </c>
      <c r="E16" s="60">
        <f ca="1">NOW()</f>
        <v>44733.460483796298</v>
      </c>
      <c r="H16" s="59" t="s">
        <v>105</v>
      </c>
      <c r="I16" s="61">
        <f>INDEX(TblRaces[[Max population]:[Explore Cost]],MATCH(race,TblRaces[Race],0),MATCH(Table4[[#This Row],[Race Bonuses]],TblRaces[[#Headers],[Max population]:[Explore Cost]],0))</f>
        <v>0</v>
      </c>
      <c r="K16" s="550" t="s">
        <v>458</v>
      </c>
      <c r="L16" s="559"/>
      <c r="M16" s="559"/>
      <c r="N16" s="559"/>
      <c r="O16" s="63"/>
    </row>
    <row r="17" spans="1:15" s="48" customFormat="1" ht="12.75" customHeight="1" thickBot="1" x14ac:dyDescent="0.25">
      <c r="A17" s="49" t="s">
        <v>326</v>
      </c>
      <c r="B17" s="64">
        <f ca="1">TODAY()</f>
        <v>44733</v>
      </c>
      <c r="C17" s="65"/>
      <c r="D17" s="66" t="s">
        <v>321</v>
      </c>
      <c r="E17" s="67">
        <f>0+Log!P16</f>
        <v>0</v>
      </c>
      <c r="F17" s="68"/>
      <c r="G17" s="68"/>
      <c r="H17" s="59" t="s">
        <v>166</v>
      </c>
      <c r="I17" s="61">
        <f>INDEX(TblRaces[[Max population]:[Explore Cost]],MATCH(race,TblRaces[Race],0),MATCH(Table4[[#This Row],[Race Bonuses]],TblRaces[[#Headers],[Max population]:[Explore Cost]],0))</f>
        <v>0</v>
      </c>
      <c r="J17" s="55"/>
      <c r="K17" s="559"/>
      <c r="L17" s="559"/>
      <c r="M17" s="559"/>
      <c r="N17" s="559"/>
      <c r="O17" s="63"/>
    </row>
    <row r="18" spans="1:15" s="48" customFormat="1" ht="12.75" customHeight="1" thickBot="1" x14ac:dyDescent="0.25">
      <c r="A18" s="69" t="s">
        <v>508</v>
      </c>
      <c r="B18" s="171">
        <v>0</v>
      </c>
      <c r="C18" s="65"/>
      <c r="D18" s="59" t="s">
        <v>323</v>
      </c>
      <c r="E18" s="67" t="e">
        <f ca="1">IF(INDIRECT("Imps!L"&amp;TEXT(E17+3,0)),"Yes","Nope")</f>
        <v>#VALUE!</v>
      </c>
      <c r="H18" s="59" t="s">
        <v>107</v>
      </c>
      <c r="I18" s="61">
        <f>INDEX(TblRaces[[Max population]:[Explore Cost]],MATCH(race,TblRaces[Race],0),MATCH(Table4[[#This Row],[Race Bonuses]],TblRaces[[#Headers],[Max population]:[Explore Cost]],0))</f>
        <v>0.05</v>
      </c>
      <c r="J18" s="55"/>
      <c r="K18" s="559"/>
      <c r="L18" s="559"/>
      <c r="M18" s="559"/>
      <c r="N18" s="559"/>
      <c r="O18" s="63"/>
    </row>
    <row r="19" spans="1:15" s="48" customFormat="1" x14ac:dyDescent="0.2">
      <c r="H19" s="59" t="s">
        <v>108</v>
      </c>
      <c r="I19" s="61">
        <f>INDEX(TblRaces[[Max population]:[Explore Cost]],MATCH(race,TblRaces[Race],0),MATCH(Table4[[#This Row],[Race Bonuses]],TblRaces[[#Headers],[Max population]:[Explore Cost]],0))</f>
        <v>0</v>
      </c>
      <c r="J19" s="55"/>
      <c r="K19" s="559"/>
      <c r="L19" s="559"/>
      <c r="M19" s="559"/>
      <c r="N19" s="559"/>
      <c r="O19" s="70"/>
    </row>
    <row r="20" spans="1:15" s="48" customFormat="1" x14ac:dyDescent="0.2">
      <c r="H20" s="59" t="s">
        <v>109</v>
      </c>
      <c r="I20" s="61">
        <f>INDEX(TblRaces[[Max population]:[Explore Cost]],MATCH(race,TblRaces[Race],0),MATCH(Table4[[#This Row],[Race Bonuses]],TblRaces[[#Headers],[Max population]:[Explore Cost]],0))</f>
        <v>0</v>
      </c>
      <c r="J20" s="55"/>
      <c r="K20" s="559"/>
      <c r="L20" s="559"/>
      <c r="M20" s="559"/>
      <c r="N20" s="559"/>
      <c r="O20" s="71"/>
    </row>
    <row r="21" spans="1:15" s="48" customFormat="1" x14ac:dyDescent="0.2">
      <c r="A21" s="72" t="s">
        <v>324</v>
      </c>
      <c r="B21" s="73" t="s">
        <v>31</v>
      </c>
      <c r="C21" s="73" t="s">
        <v>32</v>
      </c>
      <c r="D21" s="73" t="s">
        <v>2</v>
      </c>
      <c r="E21" s="73" t="s">
        <v>3</v>
      </c>
      <c r="F21" s="73" t="s">
        <v>236</v>
      </c>
      <c r="H21" s="59" t="s">
        <v>110</v>
      </c>
      <c r="I21" s="61">
        <f>INDEX(TblRaces[[Max population]:[Explore Cost]],MATCH(race,TblRaces[Race],0),MATCH(Table4[[#This Row],[Race Bonuses]],TblRaces[[#Headers],[Max population]:[Explore Cost]],0))</f>
        <v>0</v>
      </c>
      <c r="J21" s="55"/>
      <c r="K21" s="559"/>
      <c r="L21" s="559"/>
      <c r="M21" s="559"/>
      <c r="N21" s="559"/>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50"/>
      <c r="L23" s="550"/>
      <c r="M23" s="550"/>
      <c r="N23" s="550"/>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1000</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50"/>
      <c r="L24" s="550"/>
      <c r="M24" s="550"/>
      <c r="N24" s="550"/>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1200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50"/>
      <c r="L25" s="550"/>
      <c r="M25" s="550"/>
      <c r="N25" s="550"/>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167</v>
      </c>
      <c r="I26" s="61">
        <f>INDEX(TblRaces[[Max population]:[Explore Cost]],MATCH(race,TblRaces[Race],0),MATCH(Table4[[#This Row],[Race Bonuses]],TblRaces[[#Headers],[Max population]:[Explore Cost]],0))</f>
        <v>0</v>
      </c>
      <c r="K26" s="550"/>
      <c r="L26" s="550"/>
      <c r="M26" s="550"/>
      <c r="N26" s="550"/>
      <c r="O26" s="70"/>
    </row>
    <row r="27" spans="1:15" s="48" customFormat="1" x14ac:dyDescent="0.2">
      <c r="A27" s="76" t="s">
        <v>187</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168</v>
      </c>
      <c r="I27" s="61">
        <f>INDEX(TblRaces[[Max population]:[Explore Cost]],MATCH(race,TblRaces[Race],0),MATCH(Table4[[#This Row],[Race Bonuses]],TblRaces[[#Headers],[Max population]:[Explore Cost]],0))</f>
        <v>0</v>
      </c>
      <c r="K27" s="550"/>
      <c r="L27" s="550"/>
      <c r="M27" s="550"/>
      <c r="N27" s="550"/>
      <c r="O27" s="70"/>
    </row>
    <row r="28" spans="1:15" s="48" customFormat="1" x14ac:dyDescent="0.2">
      <c r="A28" s="76" t="s">
        <v>188</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445</v>
      </c>
      <c r="I28" s="61">
        <f>INDEX(TblRaces[[Max population]:[Explore Cost]],MATCH(race,TblRaces[Race],0),MATCH(Table4[[#This Row],[Race Bonuses]],TblRaces[[#Headers],[Max population]:[Explore Cost]],0))</f>
        <v>0</v>
      </c>
      <c r="O28" s="70"/>
    </row>
    <row r="29" spans="1:15" s="48" customFormat="1" x14ac:dyDescent="0.2">
      <c r="A29" s="79" t="s">
        <v>1106</v>
      </c>
      <c r="B29" s="52"/>
      <c r="C29" s="52"/>
      <c r="D29" s="80"/>
      <c r="E29" s="81"/>
      <c r="F29" s="52"/>
      <c r="G29" s="52"/>
      <c r="H29" s="59" t="s">
        <v>495</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496</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533</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1098</v>
      </c>
      <c r="I32" s="533">
        <f>INDEX(TblRaces[[Max population]:[Explore Cost]],MATCH(race,TblRaces[Race],0),MATCH(Table4[[#This Row],[Race Bonuses]],TblRaces[[#Headers],[Max population]:[Explore Cost]],0))</f>
        <v>0</v>
      </c>
      <c r="J32" s="83"/>
      <c r="O32" s="88"/>
    </row>
    <row r="33" spans="1:15" s="89" customFormat="1" ht="29.25" customHeight="1" x14ac:dyDescent="0.2">
      <c r="A33" s="572" t="s">
        <v>383</v>
      </c>
      <c r="B33" s="549"/>
      <c r="C33" s="549"/>
      <c r="D33" s="549"/>
      <c r="E33" s="549"/>
      <c r="F33" s="549"/>
      <c r="G33" s="549"/>
      <c r="H33" s="549"/>
      <c r="I33" s="549"/>
      <c r="J33" s="573"/>
      <c r="K33" s="574"/>
      <c r="L33" s="574"/>
      <c r="M33" s="574"/>
      <c r="N33" s="574"/>
      <c r="O33" s="574"/>
    </row>
    <row r="34" spans="1:15" x14ac:dyDescent="0.2">
      <c r="A34" s="90" t="s">
        <v>22</v>
      </c>
      <c r="B34" s="91" t="s">
        <v>360</v>
      </c>
      <c r="C34" s="92" t="s">
        <v>31</v>
      </c>
      <c r="D34" s="93" t="s">
        <v>212</v>
      </c>
      <c r="E34" s="94" t="s">
        <v>1039</v>
      </c>
      <c r="F34" s="92" t="s">
        <v>32</v>
      </c>
      <c r="G34" s="93" t="s">
        <v>1037</v>
      </c>
      <c r="H34" s="93" t="s">
        <v>1038</v>
      </c>
      <c r="I34" s="95" t="s">
        <v>791</v>
      </c>
      <c r="J34" s="48"/>
      <c r="K34" s="48"/>
      <c r="L34" s="48"/>
      <c r="M34" s="48"/>
      <c r="N34" s="48"/>
      <c r="O34" s="96"/>
    </row>
    <row r="35" spans="1:15" x14ac:dyDescent="0.2">
      <c r="A35" s="98" t="s">
        <v>34</v>
      </c>
      <c r="B35" s="99" t="s">
        <v>222</v>
      </c>
      <c r="C35" s="100" t="s">
        <v>194</v>
      </c>
      <c r="D35" s="101" t="s">
        <v>212</v>
      </c>
      <c r="E35" s="99" t="s">
        <v>233</v>
      </c>
      <c r="F35" s="101" t="s">
        <v>194</v>
      </c>
      <c r="G35" s="101" t="s">
        <v>212</v>
      </c>
      <c r="H35" s="101" t="s">
        <v>233</v>
      </c>
      <c r="I35" s="102" t="s">
        <v>34</v>
      </c>
      <c r="J35" s="48"/>
      <c r="K35" s="62" t="s">
        <v>434</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45" t="s">
        <v>435</v>
      </c>
      <c r="L36" s="546"/>
      <c r="M36" s="546"/>
      <c r="N36" s="546"/>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46"/>
      <c r="L37" s="546"/>
      <c r="M37" s="546"/>
      <c r="N37" s="546"/>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46"/>
      <c r="L38" s="546"/>
      <c r="M38" s="546"/>
      <c r="N38" s="546"/>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50" t="s">
        <v>455</v>
      </c>
      <c r="L39" s="551"/>
      <c r="M39" s="551"/>
      <c r="N39" s="551"/>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51"/>
      <c r="L40" s="551"/>
      <c r="M40" s="551"/>
      <c r="N40" s="551"/>
      <c r="O40" s="57"/>
    </row>
    <row r="41" spans="1:15" x14ac:dyDescent="0.2">
      <c r="A41" s="123" t="s">
        <v>24</v>
      </c>
      <c r="B41" s="124">
        <f ca="1">F41</f>
        <v>626</v>
      </c>
      <c r="C41" s="125"/>
      <c r="D41" s="59"/>
      <c r="E41" s="126"/>
      <c r="F41" s="113">
        <f ca="1">Military!Z76</f>
        <v>626</v>
      </c>
      <c r="G41" s="127"/>
      <c r="H41" s="113">
        <f ca="1">F41*(1+$G$36)</f>
        <v>626</v>
      </c>
      <c r="I41" s="108" t="s">
        <v>426</v>
      </c>
      <c r="J41" s="48"/>
      <c r="K41" s="547" t="s">
        <v>453</v>
      </c>
      <c r="L41" s="548"/>
      <c r="M41" s="548"/>
      <c r="N41" s="548"/>
      <c r="O41" s="57"/>
    </row>
    <row r="42" spans="1:15" ht="13.5" thickBot="1" x14ac:dyDescent="0.25">
      <c r="A42" s="123" t="s">
        <v>425</v>
      </c>
      <c r="B42" s="59">
        <f ca="1">E54</f>
        <v>0</v>
      </c>
      <c r="C42" s="125"/>
      <c r="D42" s="59"/>
      <c r="E42" s="126"/>
      <c r="F42" s="128">
        <f ca="1">MIN(Population!C76/2,Constants!B14*20*Construction!BE76)</f>
        <v>0</v>
      </c>
      <c r="G42" s="127"/>
      <c r="H42" s="129">
        <f ca="1">F42*(1+$G$36)</f>
        <v>0</v>
      </c>
      <c r="I42" s="108" t="s">
        <v>384</v>
      </c>
      <c r="J42" s="48"/>
      <c r="K42" s="548"/>
      <c r="L42" s="548"/>
      <c r="M42" s="548"/>
      <c r="N42" s="548"/>
      <c r="O42" s="57"/>
    </row>
    <row r="43" spans="1:15" ht="13.5" thickTop="1" x14ac:dyDescent="0.2">
      <c r="B43" s="59"/>
      <c r="C43" s="125"/>
      <c r="D43" s="59"/>
      <c r="E43" s="126"/>
      <c r="F43" s="121">
        <f ca="1">F41+F40+F42</f>
        <v>1076</v>
      </c>
      <c r="G43" s="49"/>
      <c r="H43" s="120">
        <f ca="1">H41+H40+H42</f>
        <v>1076</v>
      </c>
      <c r="I43" s="108"/>
      <c r="J43" s="48"/>
      <c r="K43" s="549"/>
      <c r="L43" s="549"/>
      <c r="M43" s="549"/>
      <c r="N43" s="549"/>
      <c r="O43" s="57"/>
    </row>
    <row r="44" spans="1:15" x14ac:dyDescent="0.2">
      <c r="A44" s="52"/>
      <c r="B44" s="48"/>
      <c r="C44" s="52"/>
      <c r="D44" s="544"/>
      <c r="E44" s="544"/>
      <c r="F44" s="544"/>
      <c r="G44" s="544"/>
      <c r="H44" s="544"/>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258</v>
      </c>
      <c r="E46" s="135" t="s">
        <v>360</v>
      </c>
      <c r="F46" s="91" t="s">
        <v>1040</v>
      </c>
      <c r="G46" s="48"/>
      <c r="H46" s="62" t="s">
        <v>260</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261</v>
      </c>
      <c r="I47" s="140" t="s">
        <v>194</v>
      </c>
      <c r="J47" s="141" t="s">
        <v>233</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255</v>
      </c>
      <c r="I48" s="145">
        <f ca="1">C40/E47</f>
        <v>0</v>
      </c>
      <c r="J48" s="145">
        <f ca="1">E40/E47</f>
        <v>0</v>
      </c>
      <c r="K48" s="48"/>
      <c r="L48" s="48"/>
      <c r="M48" s="48"/>
      <c r="N48" s="48"/>
      <c r="O48" s="57"/>
    </row>
    <row r="49" spans="1:15" x14ac:dyDescent="0.2">
      <c r="A49" s="130" t="s">
        <v>273</v>
      </c>
      <c r="B49" s="522">
        <f ca="1">Production!N76*(boat_size + tech_6_3_3*Techs!BH76)</f>
        <v>0</v>
      </c>
      <c r="C49" s="52"/>
      <c r="D49" s="142" t="str">
        <f>Construction!AZ3</f>
        <v>Tot Alc</v>
      </c>
      <c r="E49" s="49">
        <f ca="1">Construction!AZ76</f>
        <v>30</v>
      </c>
      <c r="F49" s="144">
        <f ca="1">E49/$E$47</f>
        <v>0.12</v>
      </c>
      <c r="G49" s="48"/>
      <c r="H49" s="49" t="s">
        <v>256</v>
      </c>
      <c r="I49" s="145">
        <f ca="1">F40/E47</f>
        <v>1.8</v>
      </c>
      <c r="J49" s="145">
        <f ca="1">H40/E47</f>
        <v>1.8</v>
      </c>
      <c r="K49" s="48"/>
      <c r="L49" s="48"/>
      <c r="M49" s="48"/>
      <c r="N49" s="48"/>
      <c r="O49" s="57"/>
    </row>
    <row r="50" spans="1:15" x14ac:dyDescent="0.2">
      <c r="A50" s="146" t="s">
        <v>382</v>
      </c>
      <c r="B50" s="523">
        <f>SUM(Imps!M4:'Imps'!M76)</f>
        <v>0</v>
      </c>
      <c r="C50" s="52"/>
      <c r="D50" s="142" t="str">
        <f>Construction!BA3</f>
        <v>Tot Farm</v>
      </c>
      <c r="E50" s="49">
        <f ca="1">Construction!BA76</f>
        <v>30</v>
      </c>
      <c r="F50" s="144">
        <f ca="1">E50/$E$47</f>
        <v>0.12</v>
      </c>
      <c r="G50" s="48"/>
      <c r="H50" s="49" t="s">
        <v>257</v>
      </c>
      <c r="I50" s="145">
        <f ca="1">(B45 + B38*D90*E90 + B38*D91*E91)/E47</f>
        <v>0.1</v>
      </c>
      <c r="J50" s="145">
        <f ca="1">I50*(1+I26)</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259</v>
      </c>
      <c r="I51" s="145">
        <f ca="1">(B47*2+B46 + B38*D92*E92 + B38*D93*E93)/E47</f>
        <v>0.1</v>
      </c>
      <c r="J51" s="145">
        <f ca="1">I51*(1+I27+Constants!O58*Techs!AL76)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222</v>
      </c>
      <c r="J54" s="122" t="s">
        <v>390</v>
      </c>
      <c r="K54" s="48"/>
      <c r="L54" s="48"/>
      <c r="M54" s="48"/>
      <c r="N54" s="48"/>
      <c r="O54" s="57"/>
    </row>
    <row r="55" spans="1:15" x14ac:dyDescent="0.2">
      <c r="A55" s="148" t="s">
        <v>236</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272</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271</v>
      </c>
      <c r="B57" s="520">
        <f ca="1">E40</f>
        <v>0</v>
      </c>
      <c r="C57" s="52"/>
      <c r="D57" s="142" t="str">
        <f>Construction!BJ3</f>
        <v>Tot Bar</v>
      </c>
      <c r="E57" s="49">
        <f ca="1">Construction!BJ76</f>
        <v>0</v>
      </c>
      <c r="F57" s="144">
        <f t="shared" ca="1" si="0"/>
        <v>0</v>
      </c>
      <c r="G57" s="48"/>
      <c r="H57" s="150" t="s">
        <v>235</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282</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283</v>
      </c>
      <c r="I60" s="111" t="s">
        <v>222</v>
      </c>
      <c r="J60" s="153" t="s">
        <v>389</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284</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285</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196</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286</v>
      </c>
      <c r="I65" s="113">
        <f>SUM(Imps!AM4:AM76)</f>
        <v>0</v>
      </c>
      <c r="J65" s="153">
        <f ca="1">IFERROR(Table18[[#This Row],[Amount]]/Table18[[#Totals],[Amount]],0)</f>
        <v>0</v>
      </c>
      <c r="K65" s="48"/>
      <c r="L65" s="48"/>
      <c r="M65" s="48"/>
      <c r="N65" s="48"/>
      <c r="O65" s="57"/>
    </row>
    <row r="66" spans="1:15" x14ac:dyDescent="0.2">
      <c r="A66" s="149" t="s">
        <v>280</v>
      </c>
      <c r="B66" s="521">
        <f>SUM(Explore!T65:Z76)+SUM(Explore!S77:S87)*15</f>
        <v>0</v>
      </c>
      <c r="C66" s="48"/>
      <c r="D66" s="474" t="str">
        <f>Construction!BQ3</f>
        <v>Tot Doc</v>
      </c>
      <c r="E66" s="155">
        <f ca="1">Construction!BQ76</f>
        <v>0</v>
      </c>
      <c r="F66" s="157">
        <f t="shared" ca="1" si="0"/>
        <v>0</v>
      </c>
      <c r="G66" s="48"/>
      <c r="H66" s="97" t="s">
        <v>192</v>
      </c>
      <c r="I66" s="154">
        <f ca="1">SUBTOTAL(109,Table18[Amount])</f>
        <v>0</v>
      </c>
      <c r="J66" s="423">
        <f>1</f>
        <v>1</v>
      </c>
      <c r="K66" s="48"/>
      <c r="L66" s="48"/>
      <c r="M66" s="48"/>
      <c r="N66" s="48"/>
      <c r="O66" s="57"/>
    </row>
    <row r="67" spans="1:15" x14ac:dyDescent="0.2">
      <c r="A67" s="148" t="s">
        <v>281</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386</v>
      </c>
      <c r="B68" s="159" t="str">
        <f>VLOOKUP($B$14,Races!$A$4:$B$111,2,FALSE)</f>
        <v>Good</v>
      </c>
      <c r="C68" s="48"/>
      <c r="D68" s="72" t="s">
        <v>364</v>
      </c>
      <c r="E68" s="121">
        <f ca="1">E47-SUM(E48:E66)-B67</f>
        <v>160</v>
      </c>
      <c r="F68" s="160">
        <f ca="1">E68/E47</f>
        <v>0.64</v>
      </c>
      <c r="G68" s="48"/>
      <c r="H68" s="48"/>
      <c r="I68" s="48"/>
      <c r="J68" s="48"/>
      <c r="K68" s="48"/>
      <c r="L68" s="48"/>
      <c r="M68" s="48"/>
      <c r="N68" s="48"/>
      <c r="O68" s="57"/>
    </row>
    <row r="69" spans="1:15" x14ac:dyDescent="0.2">
      <c r="A69" s="158" t="s">
        <v>385</v>
      </c>
      <c r="B69" s="159" t="str">
        <f>VLOOKUP($B$14,Races!$A$4:$C$111,3,FALSE)</f>
        <v>Plain</v>
      </c>
      <c r="C69" s="48"/>
      <c r="D69" s="72" t="s">
        <v>365</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42" t="s">
        <v>293</v>
      </c>
      <c r="B73" s="543"/>
      <c r="C73" s="161"/>
      <c r="D73" s="161"/>
      <c r="E73" s="161"/>
      <c r="O73" s="49"/>
    </row>
    <row r="74" spans="1:15" x14ac:dyDescent="0.2">
      <c r="A74" s="162" t="s">
        <v>294</v>
      </c>
      <c r="B74" s="163"/>
      <c r="C74" s="161"/>
      <c r="D74" s="161"/>
      <c r="E74" s="163"/>
      <c r="O74" s="49"/>
    </row>
    <row r="75" spans="1:15" x14ac:dyDescent="0.2">
      <c r="A75" s="164" t="s">
        <v>296</v>
      </c>
      <c r="B75" s="164" t="s">
        <v>297</v>
      </c>
      <c r="C75" s="164" t="s">
        <v>299</v>
      </c>
      <c r="D75" s="164" t="s">
        <v>298</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335</v>
      </c>
      <c r="B81" s="161" t="s">
        <v>338</v>
      </c>
      <c r="C81" s="161"/>
      <c r="D81" s="165">
        <f ca="1">MIN(Constants!F121,F67/Constants!C121)</f>
        <v>2.1999999999999997</v>
      </c>
      <c r="E81" s="161" t="b">
        <f>$B$14=A81</f>
        <v>0</v>
      </c>
      <c r="O81" s="49"/>
    </row>
    <row r="82" spans="1:15" x14ac:dyDescent="0.2">
      <c r="A82" s="161"/>
      <c r="B82" s="161" t="s">
        <v>339</v>
      </c>
      <c r="C82" s="161">
        <f ca="1">MIN(Constants!F122,I51*Constants!C122)</f>
        <v>0.1</v>
      </c>
      <c r="D82" s="161"/>
      <c r="E82" s="161"/>
      <c r="O82" s="49"/>
    </row>
    <row r="83" spans="1:15" x14ac:dyDescent="0.2">
      <c r="A83" s="161" t="s">
        <v>145</v>
      </c>
      <c r="B83" s="161" t="s">
        <v>381</v>
      </c>
      <c r="C83" s="161"/>
      <c r="D83" s="165">
        <f>MIN(Constants!F123,250/Constants!C123)</f>
        <v>0</v>
      </c>
      <c r="E83" s="161" t="b">
        <f>$B$14=A83</f>
        <v>0</v>
      </c>
      <c r="O83" s="49"/>
    </row>
    <row r="84" spans="1:15" x14ac:dyDescent="0.2">
      <c r="A84" s="166" t="s">
        <v>145</v>
      </c>
      <c r="B84" s="161" t="s">
        <v>363</v>
      </c>
      <c r="C84" s="167">
        <f>MIN(bone_breaker_cap,250/bone_breaker_bonus)</f>
        <v>1</v>
      </c>
      <c r="E84" s="161" t="b">
        <f>$B$14=A84</f>
        <v>0</v>
      </c>
      <c r="O84" s="49"/>
    </row>
    <row r="85" spans="1:15" x14ac:dyDescent="0.2">
      <c r="A85" s="161" t="s">
        <v>507</v>
      </c>
      <c r="B85" s="161" t="s">
        <v>430</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295</v>
      </c>
      <c r="B87" s="161"/>
      <c r="C87" s="161"/>
      <c r="D87" s="161"/>
      <c r="E87" s="166"/>
      <c r="O87" s="49"/>
    </row>
    <row r="88" spans="1:15" x14ac:dyDescent="0.2">
      <c r="A88" s="161" t="s">
        <v>103</v>
      </c>
      <c r="B88" s="161" t="s">
        <v>333</v>
      </c>
      <c r="C88" s="161"/>
      <c r="D88" s="161">
        <f ca="1">MIN(B38,B39)*2</f>
        <v>0</v>
      </c>
      <c r="E88" s="161" t="b">
        <f>$B$14=A88</f>
        <v>0</v>
      </c>
      <c r="O88" s="49"/>
    </row>
    <row r="89" spans="1:15" x14ac:dyDescent="0.2">
      <c r="A89" s="161"/>
      <c r="B89" s="161" t="s">
        <v>334</v>
      </c>
      <c r="C89" s="161">
        <f ca="1">MIN(B39,B36)*2</f>
        <v>0</v>
      </c>
      <c r="D89" s="161"/>
      <c r="E89" s="161"/>
      <c r="O89" s="49"/>
    </row>
    <row r="90" spans="1:15" x14ac:dyDescent="0.2">
      <c r="A90" s="166" t="s">
        <v>93</v>
      </c>
      <c r="B90" s="161" t="s">
        <v>130</v>
      </c>
      <c r="C90" s="541">
        <v>0.2</v>
      </c>
      <c r="D90" s="541">
        <f>1/3</f>
        <v>0.33333333333333331</v>
      </c>
      <c r="E90" s="161" t="b">
        <f t="shared" ref="E90:E93" si="1">$B$14=A90</f>
        <v>0</v>
      </c>
      <c r="O90" s="49"/>
    </row>
    <row r="91" spans="1:15" x14ac:dyDescent="0.2">
      <c r="A91" s="540" t="s">
        <v>104</v>
      </c>
      <c r="B91" s="161" t="s">
        <v>164</v>
      </c>
      <c r="C91" s="541">
        <v>0.2</v>
      </c>
      <c r="D91" s="541">
        <v>0.2</v>
      </c>
      <c r="E91" s="161" t="b">
        <f t="shared" si="1"/>
        <v>0</v>
      </c>
      <c r="O91" s="49"/>
    </row>
    <row r="92" spans="1:15" x14ac:dyDescent="0.2">
      <c r="A92" s="540" t="s">
        <v>96</v>
      </c>
      <c r="B92" s="161" t="s">
        <v>141</v>
      </c>
      <c r="C92" s="541">
        <v>0.25</v>
      </c>
      <c r="D92" s="541">
        <v>0.25</v>
      </c>
      <c r="E92" s="161" t="b">
        <f t="shared" si="1"/>
        <v>0</v>
      </c>
      <c r="O92" s="49"/>
    </row>
    <row r="93" spans="1:15" x14ac:dyDescent="0.2">
      <c r="A93" s="540" t="s">
        <v>99</v>
      </c>
      <c r="B93" s="161" t="s">
        <v>149</v>
      </c>
      <c r="C93" s="541">
        <v>0.25</v>
      </c>
      <c r="D93" s="541">
        <v>0.25</v>
      </c>
      <c r="E93" s="161" t="b">
        <f t="shared" si="1"/>
        <v>0</v>
      </c>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76" priority="3" stopIfTrue="1">
      <formula>$D$44&lt;&gt;""</formula>
    </cfRule>
  </conditionalFormatting>
  <conditionalFormatting sqref="E18">
    <cfRule type="cellIs" dxfId="75" priority="4" stopIfTrue="1" operator="equal">
      <formula>"""Yes"""</formula>
    </cfRule>
    <cfRule type="expression" dxfId="74" priority="5" stopIfTrue="1">
      <formula>ISERROR(E18)</formula>
    </cfRule>
  </conditionalFormatting>
  <conditionalFormatting sqref="E17">
    <cfRule type="cellIs" dxfId="73" priority="6" stopIfTrue="1" operator="lessThan">
      <formula>1</formula>
    </cfRule>
  </conditionalFormatting>
  <conditionalFormatting sqref="A29">
    <cfRule type="expression" dxfId="72" priority="1">
      <formula>$B$14&lt;&gt;"Dark Elf"</formula>
    </cfRule>
    <cfRule type="expression" dxfId="71"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4" t="s">
        <v>23</v>
      </c>
      <c r="D1" s="594"/>
      <c r="E1" s="594"/>
      <c r="F1" s="594"/>
      <c r="G1" s="594"/>
      <c r="H1" s="594"/>
      <c r="I1" s="594"/>
      <c r="J1" s="174"/>
      <c r="K1" s="174"/>
      <c r="L1" s="594" t="s">
        <v>22</v>
      </c>
      <c r="M1" s="594"/>
      <c r="N1" s="594"/>
      <c r="O1" s="594"/>
      <c r="P1" s="594"/>
      <c r="Q1" s="594"/>
      <c r="R1" s="594"/>
      <c r="S1" s="594"/>
      <c r="U1" s="594" t="s">
        <v>169</v>
      </c>
      <c r="V1" s="595"/>
      <c r="W1" s="594" t="s">
        <v>173</v>
      </c>
      <c r="X1" s="594"/>
      <c r="Y1" s="594"/>
      <c r="Z1" s="594"/>
      <c r="AA1" s="594" t="s">
        <v>178</v>
      </c>
      <c r="AB1" s="595"/>
      <c r="AC1" s="595"/>
      <c r="AD1" s="595"/>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316</v>
      </c>
      <c r="C3" s="176" t="s">
        <v>21</v>
      </c>
      <c r="D3" s="176" t="s">
        <v>22</v>
      </c>
      <c r="E3" s="176" t="s">
        <v>24</v>
      </c>
      <c r="F3" s="176" t="s">
        <v>192</v>
      </c>
      <c r="G3" s="176" t="s">
        <v>193</v>
      </c>
      <c r="H3" s="176" t="s">
        <v>230</v>
      </c>
      <c r="I3" s="176" t="s">
        <v>270</v>
      </c>
      <c r="J3" s="176" t="s">
        <v>318</v>
      </c>
      <c r="K3" s="176" t="s">
        <v>791</v>
      </c>
      <c r="L3" s="176" t="s">
        <v>1041</v>
      </c>
      <c r="M3" s="176" t="s">
        <v>787</v>
      </c>
      <c r="N3" s="176" t="s">
        <v>788</v>
      </c>
      <c r="O3" s="176" t="s">
        <v>789</v>
      </c>
      <c r="P3" s="176" t="s">
        <v>790</v>
      </c>
      <c r="Q3" s="176" t="s">
        <v>25</v>
      </c>
      <c r="R3" s="176" t="s">
        <v>26</v>
      </c>
      <c r="S3" s="176" t="s">
        <v>188</v>
      </c>
      <c r="T3" s="176" t="s">
        <v>792</v>
      </c>
      <c r="U3" s="176" t="s">
        <v>232</v>
      </c>
      <c r="V3" s="176" t="s">
        <v>180</v>
      </c>
      <c r="W3" s="176" t="s">
        <v>179</v>
      </c>
      <c r="X3" s="176" t="s">
        <v>238</v>
      </c>
      <c r="Y3" s="176" t="s">
        <v>231</v>
      </c>
      <c r="Z3" s="176" t="s">
        <v>1058</v>
      </c>
      <c r="AA3" s="176" t="s">
        <v>794</v>
      </c>
      <c r="AB3" s="176" t="s">
        <v>173</v>
      </c>
      <c r="AC3" s="176" t="s">
        <v>177</v>
      </c>
    </row>
    <row r="4" spans="1:30" x14ac:dyDescent="0.2">
      <c r="A4" s="178">
        <f>TblRezone[[#This Row],[Hour]]</f>
        <v>1</v>
      </c>
      <c r="B4" s="179">
        <f>TblImps[[#This Row],[Time]]</f>
        <v>44680.75</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44680.791666666664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44680.833333333328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44680.874999999993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44680.916666666657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44680.958333333321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44680.999999999985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44681.04166666665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44681.083333333314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44681.124999999978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44681.166666666642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44681.208333333307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44681.249999999971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44681.291666666635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44681.333333333299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44681.374999999964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44681.416666666628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44681.458333333292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44681.499999999956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44681.541666666621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44681.583333333285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44681.624999999949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44681.666666666613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44681.708333333278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44681.749999999942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44681.791666666606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44681.83333333327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44681.874999999935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44681.916666666599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44681.958333333263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44681.999999999927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44682.041666666591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44682.083333333256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44682.12499999992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44682.166666666584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44682.208333333248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44682.249999999913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44682.291666666577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44682.333333333241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44682.374999999905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44682.41666666657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44682.458333333234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44682.499999999898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44682.541666666562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44682.583333333227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44682.624999999891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44682.666666666555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44682.708333333219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44682.749999999884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44682.791666666548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44682.833333333212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44682.874999999876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44682.916666666541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44682.958333333205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44682.999999999869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44683.041666666533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44683.083333333198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44683.124999999862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44683.166666666526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44683.20833333319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44683.249999999854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44683.291666666519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44683.333333333183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44683.374999999847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44683.416666666511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44683.458333333176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44683.49999999984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44683.541666666504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44683.583333333168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44683.624999999833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44683.666666666497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44683.708333333161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44683.749999999825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44683.79166666649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44683.833333333154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44683.874999999818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44683.916666666482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44683.958333333147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44683.999999999811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44684.041666666475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44684.083333333139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44684.124999999804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44684.166666666468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44684.208333333132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44684.249999999796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44684.291666666461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44684.333333333125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44684.374999999789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44684.416666666453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44684.458333333117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44684.499999999782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44684.541666666446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44684.58333333311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44684.624999999774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44684.666666666439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44684.708333333103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44684.749999999767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44684.791666666431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44684.833333333096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44684.87499999976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44684.916666666424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44684.958333333088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44684.999999999753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44685.041666666417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44685.083333333081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44685.124999999745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44685.16666666641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44685.208333333074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44685.249999999738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44685.291666666402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44685.333333333067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44685.374999999731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44685.416666666395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44685.458333333059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44685.499999999724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44685.541666666388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44685.583333333052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44685.624999999716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44685.66666666638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44685.708333333045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44685.749999999709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44685.791666666373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44685.833333333037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44685.874999999702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44685.916666666366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44685.95833333303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44685.999999999694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44686.041666666359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44686.083333333023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44686.124999999687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44686.166666666351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44686.208333333016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44686.24999999968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3" t="s">
        <v>321</v>
      </c>
      <c r="D1269" s="549"/>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70" priority="1" stopIfTrue="1">
      <formula>OR(C4&lt;0,ROW()-3=$C$1270)</formula>
    </cfRule>
  </conditionalFormatting>
  <conditionalFormatting sqref="A1269:XFD1270">
    <cfRule type="expression" dxfId="69" priority="106" stopIfTrue="1">
      <formula>$C$1270&gt;144</formula>
    </cfRule>
  </conditionalFormatting>
  <conditionalFormatting sqref="A4:AC136">
    <cfRule type="expression" dxfId="68" priority="12" stopIfTrue="1">
      <formula>ROW()-3=$C$1270</formula>
    </cfRule>
    <cfRule type="expression" dxfId="67" priority="112">
      <formula>$A4=73</formula>
    </cfRule>
    <cfRule type="expression" dxfId="66" priority="113">
      <formula>ROUND(($A4-1)/12,0)=INT($A4-1)/12</formula>
    </cfRule>
  </conditionalFormatting>
  <conditionalFormatting sqref="A1:XFD3">
    <cfRule type="expression" dxfId="6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Q5" sqref="Q5"/>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234</v>
      </c>
      <c r="E1" s="72" t="s">
        <v>17</v>
      </c>
      <c r="S1" s="596" t="s">
        <v>253</v>
      </c>
      <c r="T1" s="596"/>
      <c r="U1" s="596"/>
      <c r="AA1" s="596" t="s">
        <v>85</v>
      </c>
      <c r="AB1" s="596"/>
      <c r="AH1" s="596" t="s">
        <v>170</v>
      </c>
      <c r="AI1" s="596"/>
      <c r="AJ1" s="596"/>
      <c r="AK1" s="596"/>
      <c r="AL1" s="596"/>
      <c r="AM1" s="596"/>
      <c r="AO1" s="72" t="s">
        <v>19</v>
      </c>
      <c r="AT1" s="596" t="s">
        <v>190</v>
      </c>
      <c r="AU1" s="596"/>
      <c r="BC1" s="72" t="s">
        <v>427</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316</v>
      </c>
      <c r="C3" s="196" t="s">
        <v>327</v>
      </c>
      <c r="D3" s="196" t="s">
        <v>791</v>
      </c>
      <c r="E3" s="196" t="s">
        <v>1</v>
      </c>
      <c r="F3" s="196" t="s">
        <v>21</v>
      </c>
      <c r="G3" s="196" t="s">
        <v>236</v>
      </c>
      <c r="H3" s="196" t="s">
        <v>2</v>
      </c>
      <c r="I3" s="196" t="s">
        <v>5</v>
      </c>
      <c r="J3" s="196" t="s">
        <v>7</v>
      </c>
      <c r="K3" s="196" t="s">
        <v>12</v>
      </c>
      <c r="L3" s="196" t="s">
        <v>3</v>
      </c>
      <c r="M3" s="196" t="s">
        <v>4</v>
      </c>
      <c r="N3" s="196" t="s">
        <v>82</v>
      </c>
      <c r="O3" s="196" t="s">
        <v>357</v>
      </c>
      <c r="P3" s="196" t="s">
        <v>377</v>
      </c>
      <c r="Q3" s="196" t="s">
        <v>378</v>
      </c>
      <c r="R3" s="196" t="s">
        <v>792</v>
      </c>
      <c r="S3" s="196" t="s">
        <v>6</v>
      </c>
      <c r="T3" s="196" t="s">
        <v>9</v>
      </c>
      <c r="U3" s="196" t="s">
        <v>8</v>
      </c>
      <c r="V3" s="196" t="s">
        <v>13</v>
      </c>
      <c r="W3" s="196" t="s">
        <v>10</v>
      </c>
      <c r="X3" s="196" t="s">
        <v>11</v>
      </c>
      <c r="Y3" s="196" t="s">
        <v>50</v>
      </c>
      <c r="Z3" s="196" t="s">
        <v>793</v>
      </c>
      <c r="AA3" s="196" t="s">
        <v>858</v>
      </c>
      <c r="AB3" s="196" t="s">
        <v>859</v>
      </c>
      <c r="AC3" s="196" t="s">
        <v>860</v>
      </c>
      <c r="AD3" s="196" t="s">
        <v>861</v>
      </c>
      <c r="AE3" s="196" t="s">
        <v>862</v>
      </c>
      <c r="AF3" s="196" t="s">
        <v>863</v>
      </c>
      <c r="AG3" s="196" t="s">
        <v>794</v>
      </c>
      <c r="AH3" s="196" t="s">
        <v>864</v>
      </c>
      <c r="AI3" s="196" t="s">
        <v>865</v>
      </c>
      <c r="AJ3" s="196" t="s">
        <v>866</v>
      </c>
      <c r="AK3" s="196" t="s">
        <v>867</v>
      </c>
      <c r="AL3" s="196" t="s">
        <v>868</v>
      </c>
      <c r="AM3" s="196" t="s">
        <v>869</v>
      </c>
      <c r="AN3" s="196" t="s">
        <v>809</v>
      </c>
      <c r="AO3" s="196" t="s">
        <v>14</v>
      </c>
      <c r="AP3" s="196" t="s">
        <v>20</v>
      </c>
      <c r="AQ3" s="196" t="s">
        <v>16</v>
      </c>
      <c r="AR3" s="196" t="s">
        <v>15</v>
      </c>
      <c r="AS3" s="196" t="s">
        <v>810</v>
      </c>
      <c r="AT3" s="196" t="s">
        <v>870</v>
      </c>
      <c r="AU3" s="196" t="s">
        <v>871</v>
      </c>
      <c r="AV3" s="196" t="s">
        <v>872</v>
      </c>
      <c r="AW3" s="196" t="s">
        <v>873</v>
      </c>
      <c r="AX3" s="196" t="s">
        <v>874</v>
      </c>
      <c r="AY3" s="196" t="s">
        <v>811</v>
      </c>
      <c r="AZ3" s="196" t="s">
        <v>331</v>
      </c>
      <c r="BA3" s="196" t="s">
        <v>332</v>
      </c>
      <c r="BB3" s="196" t="s">
        <v>875</v>
      </c>
      <c r="BC3" s="196" t="s">
        <v>876</v>
      </c>
      <c r="BD3" s="196" t="s">
        <v>877</v>
      </c>
      <c r="BE3" s="196" t="s">
        <v>878</v>
      </c>
      <c r="BF3" s="196" t="s">
        <v>879</v>
      </c>
      <c r="BG3" s="196" t="s">
        <v>880</v>
      </c>
      <c r="BH3" s="196" t="s">
        <v>199</v>
      </c>
      <c r="BI3" s="196" t="s">
        <v>881</v>
      </c>
      <c r="BJ3" s="196" t="s">
        <v>882</v>
      </c>
      <c r="BK3" s="196" t="s">
        <v>883</v>
      </c>
      <c r="BL3" s="196" t="s">
        <v>884</v>
      </c>
      <c r="BM3" s="196" t="s">
        <v>885</v>
      </c>
    </row>
    <row r="4" spans="1:65" x14ac:dyDescent="0.2">
      <c r="A4" s="178">
        <f>TblRezone[[#This Row],[Hour]]</f>
        <v>1</v>
      </c>
      <c r="B4" s="198">
        <f>TblImps[[#This Row],[Time]]</f>
        <v>44680.75</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 ca="1">ROUNDDOWN(-TblProd[[#This Row],[Required]]*TblTech[[#This Row],[…]],0) + IF(TblProd[[#This Row],[Plat Bonus]]&lt;&gt;"",350,0)</f>
        <v>0</v>
      </c>
      <c r="Q4" s="143">
        <f ca="1">MAX(_xlfn.CEILING.MATH(TblProd[[#This Row],[Land]]*2.5+IFERROR(OFFSET(TblTech[[#This Row],[Sum of tech]],-1,0)*150,0)),3750)</f>
        <v>3750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 + OFFSET(TblConstr[[#This Row],[Tot WG]],1,0)*wg_mana_prod</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44680.75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44680.791666666664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113">
        <f ca="1">MAX(_xlfn.CEILING.MATH(TblProd[[#This Row],[Land]]*2.5+IFERROR(OFFSET(TblTech[[#This Row],[Sum of tech]],-1,0)*150,0)),3750)</f>
        <v>3750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 + OFFSET(TblConstr[[#This Row],[Tot WG]],1,0)*wg_mana_prod</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44680.791666666664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44680.833333333328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113">
        <f ca="1">MAX(_xlfn.CEILING.MATH(TblProd[[#This Row],[Land]]*2.5+IFERROR(OFFSET(TblTech[[#This Row],[Sum of tech]],-1,0)*150,0)),3750)</f>
        <v>3750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 + OFFSET(TblConstr[[#This Row],[Tot WG]],1,0)*wg_mana_prod</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44680.833333333328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44680.874999999993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113">
        <f ca="1">MAX(_xlfn.CEILING.MATH(TblProd[[#This Row],[Land]]*2.5+IFERROR(OFFSET(TblTech[[#This Row],[Sum of tech]],-1,0)*150,0)),3750)</f>
        <v>3750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 + OFFSET(TblConstr[[#This Row],[Tot WG]],1,0)*wg_mana_prod</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44680.874999999993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44680.916666666657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113">
        <f ca="1">MAX(_xlfn.CEILING.MATH(TblProd[[#This Row],[Land]]*2.5+IFERROR(OFFSET(TblTech[[#This Row],[Sum of tech]],-1,0)*150,0)),3750)</f>
        <v>3750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 + OFFSET(TblConstr[[#This Row],[Tot WG]],1,0)*wg_mana_prod</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44680.916666666657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44680.958333333321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113">
        <f ca="1">MAX(_xlfn.CEILING.MATH(TblProd[[#This Row],[Land]]*2.5+IFERROR(OFFSET(TblTech[[#This Row],[Sum of tech]],-1,0)*150,0)),3750)</f>
        <v>3750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 + OFFSET(TblConstr[[#This Row],[Tot WG]],1,0)*wg_mana_prod</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44680.958333333321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44680.999999999985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113">
        <f ca="1">MAX(_xlfn.CEILING.MATH(TblProd[[#This Row],[Land]]*2.5+IFERROR(OFFSET(TblTech[[#This Row],[Sum of tech]],-1,0)*150,0)),3750)</f>
        <v>3750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 + OFFSET(TblConstr[[#This Row],[Tot WG]],1,0)*wg_mana_prod</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44680.999999999985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44681.04166666665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113">
        <f ca="1">MAX(_xlfn.CEILING.MATH(TblProd[[#This Row],[Land]]*2.5+IFERROR(OFFSET(TblTech[[#This Row],[Sum of tech]],-1,0)*150,0)),3750)</f>
        <v>3750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 + OFFSET(TblConstr[[#This Row],[Tot WG]],1,0)*wg_mana_prod</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44681.04166666665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44681.083333333314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113">
        <f ca="1">MAX(_xlfn.CEILING.MATH(TblProd[[#This Row],[Land]]*2.5+IFERROR(OFFSET(TblTech[[#This Row],[Sum of tech]],-1,0)*150,0)),3750)</f>
        <v>3750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 + OFFSET(TblConstr[[#This Row],[Tot WG]],1,0)*wg_mana_prod</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44681.083333333314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44681.124999999978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113">
        <f ca="1">MAX(_xlfn.CEILING.MATH(TblProd[[#This Row],[Land]]*2.5+IFERROR(OFFSET(TblTech[[#This Row],[Sum of tech]],-1,0)*150,0)),3750)</f>
        <v>3750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 + OFFSET(TblConstr[[#This Row],[Tot WG]],1,0)*wg_mana_prod</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44681.124999999978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44681.166666666642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113">
        <f ca="1">MAX(_xlfn.CEILING.MATH(TblProd[[#This Row],[Land]]*2.5+IFERROR(OFFSET(TblTech[[#This Row],[Sum of tech]],-1,0)*150,0)),3750)</f>
        <v>3750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 + OFFSET(TblConstr[[#This Row],[Tot WG]],1,0)*wg_mana_prod</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44681.166666666642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44681.208333333307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113">
        <f ca="1">MAX(_xlfn.CEILING.MATH(TblProd[[#This Row],[Land]]*2.5+IFERROR(OFFSET(TblTech[[#This Row],[Sum of tech]],-1,0)*150,0)),3750)</f>
        <v>3750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 + OFFSET(TblConstr[[#This Row],[Tot WG]],1,0)*wg_mana_prod</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44681.208333333307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44681.249999999971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113">
        <f ca="1">MAX(_xlfn.CEILING.MATH(TblProd[[#This Row],[Land]]*2.5+IFERROR(OFFSET(TblTech[[#This Row],[Sum of tech]],-1,0)*150,0)),3750)</f>
        <v>3750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 + OFFSET(TblConstr[[#This Row],[Tot WG]],1,0)*wg_mana_prod</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44681.249999999971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44681.291666666635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113">
        <f ca="1">MAX(_xlfn.CEILING.MATH(TblProd[[#This Row],[Land]]*2.5+IFERROR(OFFSET(TblTech[[#This Row],[Sum of tech]],-1,0)*150,0)),3750)</f>
        <v>3750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 + OFFSET(TblConstr[[#This Row],[Tot WG]],1,0)*wg_mana_prod</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44681.291666666635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44681.333333333299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113">
        <f ca="1">MAX(_xlfn.CEILING.MATH(TblProd[[#This Row],[Land]]*2.5+IFERROR(OFFSET(TblTech[[#This Row],[Sum of tech]],-1,0)*150,0)),3750)</f>
        <v>3750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 + OFFSET(TblConstr[[#This Row],[Tot WG]],1,0)*wg_mana_prod</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44681.333333333299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44681.374999999964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113">
        <f ca="1">MAX(_xlfn.CEILING.MATH(TblProd[[#This Row],[Land]]*2.5+IFERROR(OFFSET(TblTech[[#This Row],[Sum of tech]],-1,0)*150,0)),3750)</f>
        <v>3750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 + OFFSET(TblConstr[[#This Row],[Tot WG]],1,0)*wg_mana_prod</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44681.374999999964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44681.416666666628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113">
        <f ca="1">MAX(_xlfn.CEILING.MATH(TblProd[[#This Row],[Land]]*2.5+IFERROR(OFFSET(TblTech[[#This Row],[Sum of tech]],-1,0)*150,0)),3750)</f>
        <v>3750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 + OFFSET(TblConstr[[#This Row],[Tot WG]],1,0)*wg_mana_prod</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44681.416666666628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44681.458333333292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113">
        <f ca="1">MAX(_xlfn.CEILING.MATH(TblProd[[#This Row],[Land]]*2.5+IFERROR(OFFSET(TblTech[[#This Row],[Sum of tech]],-1,0)*150,0)),3750)</f>
        <v>3750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 + OFFSET(TblConstr[[#This Row],[Tot WG]],1,0)*wg_mana_prod</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44681.458333333292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44681.499999999956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113">
        <f ca="1">MAX(_xlfn.CEILING.MATH(TblProd[[#This Row],[Land]]*2.5+IFERROR(OFFSET(TblTech[[#This Row],[Sum of tech]],-1,0)*150,0)),3750)</f>
        <v>3750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 + OFFSET(TblConstr[[#This Row],[Tot WG]],1,0)*wg_mana_prod</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44681.499999999956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44681.541666666621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113">
        <f ca="1">MAX(_xlfn.CEILING.MATH(TblProd[[#This Row],[Land]]*2.5+IFERROR(OFFSET(TblTech[[#This Row],[Sum of tech]],-1,0)*150,0)),3750)</f>
        <v>3750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 + OFFSET(TblConstr[[#This Row],[Tot WG]],1,0)*wg_mana_prod</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44681.541666666621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44681.583333333285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113">
        <f ca="1">MAX(_xlfn.CEILING.MATH(TblProd[[#This Row],[Land]]*2.5+IFERROR(OFFSET(TblTech[[#This Row],[Sum of tech]],-1,0)*150,0)),3750)</f>
        <v>3750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 + OFFSET(TblConstr[[#This Row],[Tot WG]],1,0)*wg_mana_prod</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44681.583333333285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44681.624999999949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113">
        <f ca="1">MAX(_xlfn.CEILING.MATH(TblProd[[#This Row],[Land]]*2.5+IFERROR(OFFSET(TblTech[[#This Row],[Sum of tech]],-1,0)*150,0)),3750)</f>
        <v>3750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 + OFFSET(TblConstr[[#This Row],[Tot WG]],1,0)*wg_mana_prod</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44681.624999999949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44681.666666666613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113">
        <f ca="1">MAX(_xlfn.CEILING.MATH(TblProd[[#This Row],[Land]]*2.5+IFERROR(OFFSET(TblTech[[#This Row],[Sum of tech]],-1,0)*150,0)),3750)</f>
        <v>3750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 + OFFSET(TblConstr[[#This Row],[Tot WG]],1,0)*wg_mana_prod</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44681.666666666613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44681.708333333278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113">
        <f ca="1">MAX(_xlfn.CEILING.MATH(TblProd[[#This Row],[Land]]*2.5+IFERROR(OFFSET(TblTech[[#This Row],[Sum of tech]],-1,0)*150,0)),3750)</f>
        <v>3750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 + OFFSET(TblConstr[[#This Row],[Tot WG]],1,0)*wg_mana_prod</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44681.708333333278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44681.749999999942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113">
        <f ca="1">MAX(_xlfn.CEILING.MATH(TblProd[[#This Row],[Land]]*2.5+IFERROR(OFFSET(TblTech[[#This Row],[Sum of tech]],-1,0)*150,0)),3750)</f>
        <v>3750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 + OFFSET(TblConstr[[#This Row],[Tot WG]],1,0)*wg_mana_prod</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44681.749999999942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44681.791666666606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113">
        <f ca="1">MAX(_xlfn.CEILING.MATH(TblProd[[#This Row],[Land]]*2.5+IFERROR(OFFSET(TblTech[[#This Row],[Sum of tech]],-1,0)*150,0)),3750)</f>
        <v>3750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 + OFFSET(TblConstr[[#This Row],[Tot WG]],1,0)*wg_mana_prod</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44681.791666666606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44681.83333333327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113">
        <f ca="1">MAX(_xlfn.CEILING.MATH(TblProd[[#This Row],[Land]]*2.5+IFERROR(OFFSET(TblTech[[#This Row],[Sum of tech]],-1,0)*150,0)),3750)</f>
        <v>3750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 + OFFSET(TblConstr[[#This Row],[Tot WG]],1,0)*wg_mana_prod</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44681.83333333327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44681.874999999935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113">
        <f ca="1">MAX(_xlfn.CEILING.MATH(TblProd[[#This Row],[Land]]*2.5+IFERROR(OFFSET(TblTech[[#This Row],[Sum of tech]],-1,0)*150,0)),3750)</f>
        <v>3750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 + OFFSET(TblConstr[[#This Row],[Tot WG]],1,0)*wg_mana_prod</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44681.874999999935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44681.916666666599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113">
        <f ca="1">MAX(_xlfn.CEILING.MATH(TblProd[[#This Row],[Land]]*2.5+IFERROR(OFFSET(TblTech[[#This Row],[Sum of tech]],-1,0)*150,0)),3750)</f>
        <v>3750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 + OFFSET(TblConstr[[#This Row],[Tot WG]],1,0)*wg_mana_prod</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44681.916666666599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44681.958333333263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113">
        <f ca="1">MAX(_xlfn.CEILING.MATH(TblProd[[#This Row],[Land]]*2.5+IFERROR(OFFSET(TblTech[[#This Row],[Sum of tech]],-1,0)*150,0)),3750)</f>
        <v>3750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 + OFFSET(TblConstr[[#This Row],[Tot WG]],1,0)*wg_mana_prod</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44681.958333333263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44681.999999999927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113">
        <f ca="1">MAX(_xlfn.CEILING.MATH(TblProd[[#This Row],[Land]]*2.5+IFERROR(OFFSET(TblTech[[#This Row],[Sum of tech]],-1,0)*150,0)),3750)</f>
        <v>3750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 + OFFSET(TblConstr[[#This Row],[Tot WG]],1,0)*wg_mana_prod</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44681.999999999927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44682.041666666591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113">
        <f ca="1">MAX(_xlfn.CEILING.MATH(TblProd[[#This Row],[Land]]*2.5+IFERROR(OFFSET(TblTech[[#This Row],[Sum of tech]],-1,0)*150,0)),3750)</f>
        <v>3750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 + OFFSET(TblConstr[[#This Row],[Tot WG]],1,0)*wg_mana_prod</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44682.041666666591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44682.083333333256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113">
        <f ca="1">MAX(_xlfn.CEILING.MATH(TblProd[[#This Row],[Land]]*2.5+IFERROR(OFFSET(TblTech[[#This Row],[Sum of tech]],-1,0)*150,0)),3750)</f>
        <v>3750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 + OFFSET(TblConstr[[#This Row],[Tot WG]],1,0)*wg_mana_prod</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44682.083333333256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44682.12499999992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113">
        <f ca="1">MAX(_xlfn.CEILING.MATH(TblProd[[#This Row],[Land]]*2.5+IFERROR(OFFSET(TblTech[[#This Row],[Sum of tech]],-1,0)*150,0)),3750)</f>
        <v>3750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 + OFFSET(TblConstr[[#This Row],[Tot WG]],1,0)*wg_mana_prod</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44682.12499999992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44682.166666666584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113">
        <f ca="1">MAX(_xlfn.CEILING.MATH(TblProd[[#This Row],[Land]]*2.5+IFERROR(OFFSET(TblTech[[#This Row],[Sum of tech]],-1,0)*150,0)),3750)</f>
        <v>3750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 + OFFSET(TblConstr[[#This Row],[Tot WG]],1,0)*wg_mana_prod</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44682.166666666584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44682.208333333248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113">
        <f ca="1">MAX(_xlfn.CEILING.MATH(TblProd[[#This Row],[Land]]*2.5+IFERROR(OFFSET(TblTech[[#This Row],[Sum of tech]],-1,0)*150,0)),3750)</f>
        <v>3750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 + OFFSET(TblConstr[[#This Row],[Tot WG]],1,0)*wg_mana_prod</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44682.208333333248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44682.249999999913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113">
        <f ca="1">MAX(_xlfn.CEILING.MATH(TblProd[[#This Row],[Land]]*2.5+IFERROR(OFFSET(TblTech[[#This Row],[Sum of tech]],-1,0)*150,0)),3750)</f>
        <v>3750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 + OFFSET(TblConstr[[#This Row],[Tot WG]],1,0)*wg_mana_prod</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44682.249999999913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44682.291666666577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113">
        <f ca="1">MAX(_xlfn.CEILING.MATH(TblProd[[#This Row],[Land]]*2.5+IFERROR(OFFSET(TblTech[[#This Row],[Sum of tech]],-1,0)*150,0)),3750)</f>
        <v>3750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 + OFFSET(TblConstr[[#This Row],[Tot WG]],1,0)*wg_mana_prod</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44682.291666666577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44682.333333333241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113">
        <f ca="1">MAX(_xlfn.CEILING.MATH(TblProd[[#This Row],[Land]]*2.5+IFERROR(OFFSET(TblTech[[#This Row],[Sum of tech]],-1,0)*150,0)),3750)</f>
        <v>3750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 + OFFSET(TblConstr[[#This Row],[Tot WG]],1,0)*wg_mana_prod</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44682.333333333241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44682.374999999905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113">
        <f ca="1">MAX(_xlfn.CEILING.MATH(TblProd[[#This Row],[Land]]*2.5+IFERROR(OFFSET(TblTech[[#This Row],[Sum of tech]],-1,0)*150,0)),3750)</f>
        <v>3750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 + OFFSET(TblConstr[[#This Row],[Tot WG]],1,0)*wg_mana_prod</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44682.374999999905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44682.41666666657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113">
        <f ca="1">MAX(_xlfn.CEILING.MATH(TblProd[[#This Row],[Land]]*2.5+IFERROR(OFFSET(TblTech[[#This Row],[Sum of tech]],-1,0)*150,0)),3750)</f>
        <v>3750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 + OFFSET(TblConstr[[#This Row],[Tot WG]],1,0)*wg_mana_prod</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44682.41666666657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44682.458333333234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113">
        <f ca="1">MAX(_xlfn.CEILING.MATH(TblProd[[#This Row],[Land]]*2.5+IFERROR(OFFSET(TblTech[[#This Row],[Sum of tech]],-1,0)*150,0)),3750)</f>
        <v>3750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 + OFFSET(TblConstr[[#This Row],[Tot WG]],1,0)*wg_mana_prod</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44682.458333333234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44682.499999999898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113">
        <f ca="1">MAX(_xlfn.CEILING.MATH(TblProd[[#This Row],[Land]]*2.5+IFERROR(OFFSET(TblTech[[#This Row],[Sum of tech]],-1,0)*150,0)),3750)</f>
        <v>3750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 + OFFSET(TblConstr[[#This Row],[Tot WG]],1,0)*wg_mana_prod</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44682.499999999898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44682.541666666562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113">
        <f ca="1">MAX(_xlfn.CEILING.MATH(TblProd[[#This Row],[Land]]*2.5+IFERROR(OFFSET(TblTech[[#This Row],[Sum of tech]],-1,0)*150,0)),3750)</f>
        <v>3750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 + OFFSET(TblConstr[[#This Row],[Tot WG]],1,0)*wg_mana_prod</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44682.541666666562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44682.583333333227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113">
        <f ca="1">MAX(_xlfn.CEILING.MATH(TblProd[[#This Row],[Land]]*2.5+IFERROR(OFFSET(TblTech[[#This Row],[Sum of tech]],-1,0)*150,0)),3750)</f>
        <v>3750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 + OFFSET(TblConstr[[#This Row],[Tot WG]],1,0)*wg_mana_prod</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44682.583333333227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44682.624999999891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113">
        <f ca="1">MAX(_xlfn.CEILING.MATH(TblProd[[#This Row],[Land]]*2.5+IFERROR(OFFSET(TblTech[[#This Row],[Sum of tech]],-1,0)*150,0)),3750)</f>
        <v>3750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 + OFFSET(TblConstr[[#This Row],[Tot WG]],1,0)*wg_mana_prod</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44682.624999999891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44682.666666666555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113">
        <f ca="1">MAX(_xlfn.CEILING.MATH(TblProd[[#This Row],[Land]]*2.5+IFERROR(OFFSET(TblTech[[#This Row],[Sum of tech]],-1,0)*150,0)),3750)</f>
        <v>3750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 + OFFSET(TblConstr[[#This Row],[Tot WG]],1,0)*wg_mana_prod</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44682.666666666555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44682.708333333219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113">
        <f ca="1">MAX(_xlfn.CEILING.MATH(TblProd[[#This Row],[Land]]*2.5+IFERROR(OFFSET(TblTech[[#This Row],[Sum of tech]],-1,0)*150,0)),3750)</f>
        <v>3750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 + OFFSET(TblConstr[[#This Row],[Tot WG]],1,0)*wg_mana_prod</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44682.708333333219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44682.749999999884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113">
        <f ca="1">MAX(_xlfn.CEILING.MATH(TblProd[[#This Row],[Land]]*2.5+IFERROR(OFFSET(TblTech[[#This Row],[Sum of tech]],-1,0)*150,0)),3750)</f>
        <v>3750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 + OFFSET(TblConstr[[#This Row],[Tot WG]],1,0)*wg_mana_prod</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44682.749999999884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44682.791666666548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113">
        <f ca="1">MAX(_xlfn.CEILING.MATH(TblProd[[#This Row],[Land]]*2.5+IFERROR(OFFSET(TblTech[[#This Row],[Sum of tech]],-1,0)*150,0)),3750)</f>
        <v>3750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 + OFFSET(TblConstr[[#This Row],[Tot WG]],1,0)*wg_mana_prod</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44682.791666666548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44682.833333333212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113">
        <f ca="1">MAX(_xlfn.CEILING.MATH(TblProd[[#This Row],[Land]]*2.5+IFERROR(OFFSET(TblTech[[#This Row],[Sum of tech]],-1,0)*150,0)),3750)</f>
        <v>3750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 + OFFSET(TblConstr[[#This Row],[Tot WG]],1,0)*wg_mana_prod</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44682.833333333212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44682.874999999876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113">
        <f ca="1">MAX(_xlfn.CEILING.MATH(TblProd[[#This Row],[Land]]*2.5+IFERROR(OFFSET(TblTech[[#This Row],[Sum of tech]],-1,0)*150,0)),3750)</f>
        <v>3750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 + OFFSET(TblConstr[[#This Row],[Tot WG]],1,0)*wg_mana_prod</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44682.874999999876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44682.916666666541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113">
        <f ca="1">MAX(_xlfn.CEILING.MATH(TblProd[[#This Row],[Land]]*2.5+IFERROR(OFFSET(TblTech[[#This Row],[Sum of tech]],-1,0)*150,0)),3750)</f>
        <v>3750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 + OFFSET(TblConstr[[#This Row],[Tot WG]],1,0)*wg_mana_prod</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44682.916666666541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44682.958333333205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113">
        <f ca="1">MAX(_xlfn.CEILING.MATH(TblProd[[#This Row],[Land]]*2.5+IFERROR(OFFSET(TblTech[[#This Row],[Sum of tech]],-1,0)*150,0)),3750)</f>
        <v>3750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 + OFFSET(TblConstr[[#This Row],[Tot WG]],1,0)*wg_mana_prod</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44682.958333333205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44682.999999999869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113">
        <f ca="1">MAX(_xlfn.CEILING.MATH(TblProd[[#This Row],[Land]]*2.5+IFERROR(OFFSET(TblTech[[#This Row],[Sum of tech]],-1,0)*150,0)),3750)</f>
        <v>3750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 + OFFSET(TblConstr[[#This Row],[Tot WG]],1,0)*wg_mana_prod</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44682.999999999869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44683.041666666533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113">
        <f ca="1">MAX(_xlfn.CEILING.MATH(TblProd[[#This Row],[Land]]*2.5+IFERROR(OFFSET(TblTech[[#This Row],[Sum of tech]],-1,0)*150,0)),3750)</f>
        <v>3750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 + OFFSET(TblConstr[[#This Row],[Tot WG]],1,0)*wg_mana_prod</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44683.041666666533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44683.083333333198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113">
        <f ca="1">MAX(_xlfn.CEILING.MATH(TblProd[[#This Row],[Land]]*2.5+IFERROR(OFFSET(TblTech[[#This Row],[Sum of tech]],-1,0)*150,0)),3750)</f>
        <v>3750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 + OFFSET(TblConstr[[#This Row],[Tot WG]],1,0)*wg_mana_prod</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44683.083333333198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44683.124999999862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113">
        <f ca="1">MAX(_xlfn.CEILING.MATH(TblProd[[#This Row],[Land]]*2.5+IFERROR(OFFSET(TblTech[[#This Row],[Sum of tech]],-1,0)*150,0)),3750)</f>
        <v>3750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 + OFFSET(TblConstr[[#This Row],[Tot WG]],1,0)*wg_mana_prod</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44683.124999999862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44683.166666666526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113">
        <f ca="1">MAX(_xlfn.CEILING.MATH(TblProd[[#This Row],[Land]]*2.5+IFERROR(OFFSET(TblTech[[#This Row],[Sum of tech]],-1,0)*150,0)),3750)</f>
        <v>3750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 + OFFSET(TblConstr[[#This Row],[Tot WG]],1,0)*wg_mana_prod</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44683.166666666526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44683.20833333319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113">
        <f ca="1">MAX(_xlfn.CEILING.MATH(TblProd[[#This Row],[Land]]*2.5+IFERROR(OFFSET(TblTech[[#This Row],[Sum of tech]],-1,0)*150,0)),3750)</f>
        <v>3750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 + OFFSET(TblConstr[[#This Row],[Tot WG]],1,0)*wg_mana_prod</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44683.20833333319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44683.249999999854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113">
        <f ca="1">MAX(_xlfn.CEILING.MATH(TblProd[[#This Row],[Land]]*2.5+IFERROR(OFFSET(TblTech[[#This Row],[Sum of tech]],-1,0)*150,0)),3750)</f>
        <v>3750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 + OFFSET(TblConstr[[#This Row],[Tot WG]],1,0)*wg_mana_prod</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44683.249999999854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44683.291666666519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113">
        <f ca="1">MAX(_xlfn.CEILING.MATH(TblProd[[#This Row],[Land]]*2.5+IFERROR(OFFSET(TblTech[[#This Row],[Sum of tech]],-1,0)*150,0)),3750)</f>
        <v>3750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 + OFFSET(TblConstr[[#This Row],[Tot WG]],1,0)*wg_mana_prod</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44683.291666666519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44683.333333333183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113">
        <f ca="1">MAX(_xlfn.CEILING.MATH(TblProd[[#This Row],[Land]]*2.5+IFERROR(OFFSET(TblTech[[#This Row],[Sum of tech]],-1,0)*150,0)),3750)</f>
        <v>3750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 + OFFSET(TblConstr[[#This Row],[Tot WG]],1,0)*wg_mana_prod</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44683.333333333183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44683.374999999847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113">
        <f ca="1">MAX(_xlfn.CEILING.MATH(TblProd[[#This Row],[Land]]*2.5+IFERROR(OFFSET(TblTech[[#This Row],[Sum of tech]],-1,0)*150,0)),3750)</f>
        <v>3750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 + OFFSET(TblConstr[[#This Row],[Tot WG]],1,0)*wg_mana_prod</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44683.374999999847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44683.416666666511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113">
        <f ca="1">MAX(_xlfn.CEILING.MATH(TblProd[[#This Row],[Land]]*2.5+IFERROR(OFFSET(TblTech[[#This Row],[Sum of tech]],-1,0)*150,0)),3750)</f>
        <v>3750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 + OFFSET(TblConstr[[#This Row],[Tot WG]],1,0)*wg_mana_prod</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44683.416666666511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44683.458333333176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113">
        <f ca="1">MAX(_xlfn.CEILING.MATH(TblProd[[#This Row],[Land]]*2.5+IFERROR(OFFSET(TblTech[[#This Row],[Sum of tech]],-1,0)*150,0)),3750)</f>
        <v>3750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 + OFFSET(TblConstr[[#This Row],[Tot WG]],1,0)*wg_mana_prod</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44683.458333333176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44683.49999999984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113">
        <f ca="1">MAX(_xlfn.CEILING.MATH(TblProd[[#This Row],[Land]]*2.5+IFERROR(OFFSET(TblTech[[#This Row],[Sum of tech]],-1,0)*150,0)),3750)</f>
        <v>3750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 + OFFSET(TblConstr[[#This Row],[Tot WG]],1,0)*wg_mana_prod</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44683.49999999984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44683.541666666504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113">
        <f ca="1">MAX(_xlfn.CEILING.MATH(TblProd[[#This Row],[Land]]*2.5+IFERROR(OFFSET(TblTech[[#This Row],[Sum of tech]],-1,0)*150,0)),3750)</f>
        <v>3750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 + OFFSET(TblConstr[[#This Row],[Tot WG]],1,0)*wg_mana_prod</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44683.541666666504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44683.583333333168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113">
        <f ca="1">MAX(_xlfn.CEILING.MATH(TblProd[[#This Row],[Land]]*2.5+IFERROR(OFFSET(TblTech[[#This Row],[Sum of tech]],-1,0)*150,0)),3750)</f>
        <v>3750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 + OFFSET(TblConstr[[#This Row],[Tot WG]],1,0)*wg_mana_prod</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44683.583333333168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44683.624999999833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113">
        <f ca="1">MAX(_xlfn.CEILING.MATH(TblProd[[#This Row],[Land]]*2.5+IFERROR(OFFSET(TblTech[[#This Row],[Sum of tech]],-1,0)*150,0)),3750)</f>
        <v>3750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 + OFFSET(TblConstr[[#This Row],[Tot WG]],1,0)*wg_mana_prod</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44683.624999999833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44683.666666666497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113">
        <f ca="1">MAX(_xlfn.CEILING.MATH(TblProd[[#This Row],[Land]]*2.5+IFERROR(OFFSET(TblTech[[#This Row],[Sum of tech]],-1,0)*150,0)),3750)</f>
        <v>3750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 + OFFSET(TblConstr[[#This Row],[Tot WG]],1,0)*wg_mana_prod</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44683.666666666497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44683.708333333161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113">
        <f ca="1">MAX(_xlfn.CEILING.MATH(TblProd[[#This Row],[Land]]*2.5+IFERROR(OFFSET(TblTech[[#This Row],[Sum of tech]],-1,0)*150,0)),3750)</f>
        <v>3750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 + OFFSET(TblConstr[[#This Row],[Tot WG]],1,0)*wg_mana_prod</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44683.708333333161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235</v>
      </c>
      <c r="B76" s="210">
        <f ca="1">TblImps[[#This Row],[Time]]</f>
        <v>44683.749999999825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113">
        <f ca="1">MAX(_xlfn.CEILING.MATH(TblProd[[#This Row],[Land]]*2.5+IFERROR(OFFSET(TblTech[[#This Row],[Sum of tech]],-1,0)*150,0)),3750)</f>
        <v>3750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 + OFFSET(TblConstr[[#This Row],[Tot WG]],1,0)*wg_mana_prod</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44683.749999999825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44683.79166666649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113">
        <f ca="1">MAX(_xlfn.CEILING.MATH(TblProd[[#This Row],[Land]]*2.5+IFERROR(OFFSET(TblTech[[#This Row],[Sum of tech]],-1,0)*150,0)),3750)</f>
        <v>3750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 + OFFSET(TblConstr[[#This Row],[Tot WG]],1,0)*wg_mana_prod</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44683.79166666649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44683.833333333154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113">
        <f ca="1">MAX(_xlfn.CEILING.MATH(TblProd[[#This Row],[Land]]*2.5+IFERROR(OFFSET(TblTech[[#This Row],[Sum of tech]],-1,0)*150,0)),3750)</f>
        <v>3750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 + OFFSET(TblConstr[[#This Row],[Tot WG]],1,0)*wg_mana_prod</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44683.833333333154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44683.874999999818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113">
        <f ca="1">MAX(_xlfn.CEILING.MATH(TblProd[[#This Row],[Land]]*2.5+IFERROR(OFFSET(TblTech[[#This Row],[Sum of tech]],-1,0)*150,0)),3750)</f>
        <v>3750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 + OFFSET(TblConstr[[#This Row],[Tot WG]],1,0)*wg_mana_prod</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44683.874999999818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44683.916666666482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113">
        <f ca="1">MAX(_xlfn.CEILING.MATH(TblProd[[#This Row],[Land]]*2.5+IFERROR(OFFSET(TblTech[[#This Row],[Sum of tech]],-1,0)*150,0)),3750)</f>
        <v>3750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 + OFFSET(TblConstr[[#This Row],[Tot WG]],1,0)*wg_mana_prod</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44683.916666666482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44683.958333333147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113">
        <f ca="1">MAX(_xlfn.CEILING.MATH(TblProd[[#This Row],[Land]]*2.5+IFERROR(OFFSET(TblTech[[#This Row],[Sum of tech]],-1,0)*150,0)),3750)</f>
        <v>3750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 + OFFSET(TblConstr[[#This Row],[Tot WG]],1,0)*wg_mana_prod</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44683.958333333147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44683.999999999811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113">
        <f ca="1">MAX(_xlfn.CEILING.MATH(TblProd[[#This Row],[Land]]*2.5+IFERROR(OFFSET(TblTech[[#This Row],[Sum of tech]],-1,0)*150,0)),3750)</f>
        <v>3750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 + OFFSET(TblConstr[[#This Row],[Tot WG]],1,0)*wg_mana_prod</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44683.999999999811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44684.041666666475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113">
        <f ca="1">MAX(_xlfn.CEILING.MATH(TblProd[[#This Row],[Land]]*2.5+IFERROR(OFFSET(TblTech[[#This Row],[Sum of tech]],-1,0)*150,0)),3750)</f>
        <v>3750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 + OFFSET(TblConstr[[#This Row],[Tot WG]],1,0)*wg_mana_prod</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44684.041666666475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44684.083333333139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113">
        <f ca="1">MAX(_xlfn.CEILING.MATH(TblProd[[#This Row],[Land]]*2.5+IFERROR(OFFSET(TblTech[[#This Row],[Sum of tech]],-1,0)*150,0)),3750)</f>
        <v>3750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 + OFFSET(TblConstr[[#This Row],[Tot WG]],1,0)*wg_mana_prod</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44684.083333333139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44684.124999999804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113">
        <f ca="1">MAX(_xlfn.CEILING.MATH(TblProd[[#This Row],[Land]]*2.5+IFERROR(OFFSET(TblTech[[#This Row],[Sum of tech]],-1,0)*150,0)),3750)</f>
        <v>3750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 + OFFSET(TblConstr[[#This Row],[Tot WG]],1,0)*wg_mana_prod</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44684.124999999804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44684.166666666468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113">
        <f ca="1">MAX(_xlfn.CEILING.MATH(TblProd[[#This Row],[Land]]*2.5+IFERROR(OFFSET(TblTech[[#This Row],[Sum of tech]],-1,0)*150,0)),3750)</f>
        <v>3750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 + OFFSET(TblConstr[[#This Row],[Tot WG]],1,0)*wg_mana_prod</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44684.166666666468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44684.208333333132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113">
        <f ca="1">MAX(_xlfn.CEILING.MATH(TblProd[[#This Row],[Land]]*2.5+IFERROR(OFFSET(TblTech[[#This Row],[Sum of tech]],-1,0)*150,0)),3750)</f>
        <v>3750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 + OFFSET(TblConstr[[#This Row],[Tot WG]],1,0)*wg_mana_prod</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44684.208333333132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44684.249999999796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113">
        <f ca="1">MAX(_xlfn.CEILING.MATH(TblProd[[#This Row],[Land]]*2.5+IFERROR(OFFSET(TblTech[[#This Row],[Sum of tech]],-1,0)*150,0)),3750)</f>
        <v>3750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 + OFFSET(TblConstr[[#This Row],[Tot WG]],1,0)*wg_mana_prod</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44684.249999999796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44684.291666666461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113">
        <f ca="1">MAX(_xlfn.CEILING.MATH(TblProd[[#This Row],[Land]]*2.5+IFERROR(OFFSET(TblTech[[#This Row],[Sum of tech]],-1,0)*150,0)),3750)</f>
        <v>3750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 + OFFSET(TblConstr[[#This Row],[Tot WG]],1,0)*wg_mana_prod</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44684.291666666461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44684.333333333125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113">
        <f ca="1">MAX(_xlfn.CEILING.MATH(TblProd[[#This Row],[Land]]*2.5+IFERROR(OFFSET(TblTech[[#This Row],[Sum of tech]],-1,0)*150,0)),3750)</f>
        <v>3750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 + OFFSET(TblConstr[[#This Row],[Tot WG]],1,0)*wg_mana_prod</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44684.333333333125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44684.374999999789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113">
        <f ca="1">MAX(_xlfn.CEILING.MATH(TblProd[[#This Row],[Land]]*2.5+IFERROR(OFFSET(TblTech[[#This Row],[Sum of tech]],-1,0)*150,0)),3750)</f>
        <v>3750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 + OFFSET(TblConstr[[#This Row],[Tot WG]],1,0)*wg_mana_prod</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44684.374999999789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44684.416666666453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113">
        <f ca="1">MAX(_xlfn.CEILING.MATH(TblProd[[#This Row],[Land]]*2.5+IFERROR(OFFSET(TblTech[[#This Row],[Sum of tech]],-1,0)*150,0)),3750)</f>
        <v>3750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 + OFFSET(TblConstr[[#This Row],[Tot WG]],1,0)*wg_mana_prod</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44684.416666666453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44684.458333333117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113">
        <f ca="1">MAX(_xlfn.CEILING.MATH(TblProd[[#This Row],[Land]]*2.5+IFERROR(OFFSET(TblTech[[#This Row],[Sum of tech]],-1,0)*150,0)),3750)</f>
        <v>3750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 + OFFSET(TblConstr[[#This Row],[Tot WG]],1,0)*wg_mana_prod</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44684.458333333117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44684.499999999782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113">
        <f ca="1">MAX(_xlfn.CEILING.MATH(TblProd[[#This Row],[Land]]*2.5+IFERROR(OFFSET(TblTech[[#This Row],[Sum of tech]],-1,0)*150,0)),3750)</f>
        <v>3750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 + OFFSET(TblConstr[[#This Row],[Tot WG]],1,0)*wg_mana_prod</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44684.499999999782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44684.541666666446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113">
        <f ca="1">MAX(_xlfn.CEILING.MATH(TblProd[[#This Row],[Land]]*2.5+IFERROR(OFFSET(TblTech[[#This Row],[Sum of tech]],-1,0)*150,0)),3750)</f>
        <v>3750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 + OFFSET(TblConstr[[#This Row],[Tot WG]],1,0)*wg_mana_prod</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44684.541666666446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44684.58333333311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113">
        <f ca="1">MAX(_xlfn.CEILING.MATH(TblProd[[#This Row],[Land]]*2.5+IFERROR(OFFSET(TblTech[[#This Row],[Sum of tech]],-1,0)*150,0)),3750)</f>
        <v>3750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 + OFFSET(TblConstr[[#This Row],[Tot WG]],1,0)*wg_mana_prod</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44684.58333333311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44684.624999999774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113">
        <f ca="1">MAX(_xlfn.CEILING.MATH(TblProd[[#This Row],[Land]]*2.5+IFERROR(OFFSET(TblTech[[#This Row],[Sum of tech]],-1,0)*150,0)),3750)</f>
        <v>3750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 + OFFSET(TblConstr[[#This Row],[Tot WG]],1,0)*wg_mana_prod</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44684.624999999774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44684.666666666439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113">
        <f ca="1">MAX(_xlfn.CEILING.MATH(TblProd[[#This Row],[Land]]*2.5+IFERROR(OFFSET(TblTech[[#This Row],[Sum of tech]],-1,0)*150,0)),3750)</f>
        <v>3750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 + OFFSET(TblConstr[[#This Row],[Tot WG]],1,0)*wg_mana_prod</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44684.666666666439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44684.708333333103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113">
        <f ca="1">MAX(_xlfn.CEILING.MATH(TblProd[[#This Row],[Land]]*2.5+IFERROR(OFFSET(TblTech[[#This Row],[Sum of tech]],-1,0)*150,0)),3750)</f>
        <v>3750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 + OFFSET(TblConstr[[#This Row],[Tot WG]],1,0)*wg_mana_prod</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44684.708333333103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44684.749999999767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113">
        <f ca="1">MAX(_xlfn.CEILING.MATH(TblProd[[#This Row],[Land]]*2.5+IFERROR(OFFSET(TblTech[[#This Row],[Sum of tech]],-1,0)*150,0)),3750)</f>
        <v>3750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 + OFFSET(TblConstr[[#This Row],[Tot WG]],1,0)*wg_mana_prod</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44684.749999999767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44684.791666666431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113">
        <f ca="1">MAX(_xlfn.CEILING.MATH(TblProd[[#This Row],[Land]]*2.5+IFERROR(OFFSET(TblTech[[#This Row],[Sum of tech]],-1,0)*150,0)),3750)</f>
        <v>3750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 + OFFSET(TblConstr[[#This Row],[Tot WG]],1,0)*wg_mana_prod</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44684.791666666431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44684.833333333096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113">
        <f ca="1">MAX(_xlfn.CEILING.MATH(TblProd[[#This Row],[Land]]*2.5+IFERROR(OFFSET(TblTech[[#This Row],[Sum of tech]],-1,0)*150,0)),3750)</f>
        <v>3750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 + OFFSET(TblConstr[[#This Row],[Tot WG]],1,0)*wg_mana_prod</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44684.833333333096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44684.87499999976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113">
        <f ca="1">MAX(_xlfn.CEILING.MATH(TblProd[[#This Row],[Land]]*2.5+IFERROR(OFFSET(TblTech[[#This Row],[Sum of tech]],-1,0)*150,0)),3750)</f>
        <v>3750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 + OFFSET(TblConstr[[#This Row],[Tot WG]],1,0)*wg_mana_prod</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44684.87499999976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44684.916666666424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113">
        <f ca="1">MAX(_xlfn.CEILING.MATH(TblProd[[#This Row],[Land]]*2.5+IFERROR(OFFSET(TblTech[[#This Row],[Sum of tech]],-1,0)*150,0)),3750)</f>
        <v>3750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 + OFFSET(TblConstr[[#This Row],[Tot WG]],1,0)*wg_mana_prod</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44684.916666666424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44684.958333333088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113">
        <f ca="1">MAX(_xlfn.CEILING.MATH(TblProd[[#This Row],[Land]]*2.5+IFERROR(OFFSET(TblTech[[#This Row],[Sum of tech]],-1,0)*150,0)),3750)</f>
        <v>3750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 + OFFSET(TblConstr[[#This Row],[Tot WG]],1,0)*wg_mana_prod</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44684.958333333088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44684.999999999753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113">
        <f ca="1">MAX(_xlfn.CEILING.MATH(TblProd[[#This Row],[Land]]*2.5+IFERROR(OFFSET(TblTech[[#This Row],[Sum of tech]],-1,0)*150,0)),3750)</f>
        <v>3750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 + OFFSET(TblConstr[[#This Row],[Tot WG]],1,0)*wg_mana_prod</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44684.999999999753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44685.041666666417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113">
        <f ca="1">MAX(_xlfn.CEILING.MATH(TblProd[[#This Row],[Land]]*2.5+IFERROR(OFFSET(TblTech[[#This Row],[Sum of tech]],-1,0)*150,0)),3750)</f>
        <v>3750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 + OFFSET(TblConstr[[#This Row],[Tot WG]],1,0)*wg_mana_prod</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44685.041666666417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44685.083333333081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113">
        <f ca="1">MAX(_xlfn.CEILING.MATH(TblProd[[#This Row],[Land]]*2.5+IFERROR(OFFSET(TblTech[[#This Row],[Sum of tech]],-1,0)*150,0)),3750)</f>
        <v>3750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 + OFFSET(TblConstr[[#This Row],[Tot WG]],1,0)*wg_mana_prod</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44685.083333333081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44685.124999999745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113">
        <f ca="1">MAX(_xlfn.CEILING.MATH(TblProd[[#This Row],[Land]]*2.5+IFERROR(OFFSET(TblTech[[#This Row],[Sum of tech]],-1,0)*150,0)),3750)</f>
        <v>3750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 + OFFSET(TblConstr[[#This Row],[Tot WG]],1,0)*wg_mana_prod</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44685.124999999745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44685.16666666641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113">
        <f ca="1">MAX(_xlfn.CEILING.MATH(TblProd[[#This Row],[Land]]*2.5+IFERROR(OFFSET(TblTech[[#This Row],[Sum of tech]],-1,0)*150,0)),3750)</f>
        <v>3750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 + OFFSET(TblConstr[[#This Row],[Tot WG]],1,0)*wg_mana_prod</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44685.16666666641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44685.208333333074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113">
        <f ca="1">MAX(_xlfn.CEILING.MATH(TblProd[[#This Row],[Land]]*2.5+IFERROR(OFFSET(TblTech[[#This Row],[Sum of tech]],-1,0)*150,0)),3750)</f>
        <v>3750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 + OFFSET(TblConstr[[#This Row],[Tot WG]],1,0)*wg_mana_prod</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44685.208333333074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44685.249999999738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113">
        <f ca="1">MAX(_xlfn.CEILING.MATH(TblProd[[#This Row],[Land]]*2.5+IFERROR(OFFSET(TblTech[[#This Row],[Sum of tech]],-1,0)*150,0)),3750)</f>
        <v>3750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 + OFFSET(TblConstr[[#This Row],[Tot WG]],1,0)*wg_mana_prod</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44685.249999999738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44685.291666666402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113">
        <f ca="1">MAX(_xlfn.CEILING.MATH(TblProd[[#This Row],[Land]]*2.5+IFERROR(OFFSET(TblTech[[#This Row],[Sum of tech]],-1,0)*150,0)),3750)</f>
        <v>3750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 + OFFSET(TblConstr[[#This Row],[Tot WG]],1,0)*wg_mana_prod</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44685.291666666402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44685.333333333067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113">
        <f ca="1">MAX(_xlfn.CEILING.MATH(TblProd[[#This Row],[Land]]*2.5+IFERROR(OFFSET(TblTech[[#This Row],[Sum of tech]],-1,0)*150,0)),3750)</f>
        <v>3750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 + OFFSET(TblConstr[[#This Row],[Tot WG]],1,0)*wg_mana_prod</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44685.333333333067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44685.374999999731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113">
        <f ca="1">MAX(_xlfn.CEILING.MATH(TblProd[[#This Row],[Land]]*2.5+IFERROR(OFFSET(TblTech[[#This Row],[Sum of tech]],-1,0)*150,0)),3750)</f>
        <v>3750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 + OFFSET(TblConstr[[#This Row],[Tot WG]],1,0)*wg_mana_prod</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44685.374999999731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44685.416666666395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113">
        <f ca="1">MAX(_xlfn.CEILING.MATH(TblProd[[#This Row],[Land]]*2.5+IFERROR(OFFSET(TblTech[[#This Row],[Sum of tech]],-1,0)*150,0)),3750)</f>
        <v>3750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 + OFFSET(TblConstr[[#This Row],[Tot WG]],1,0)*wg_mana_prod</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44685.416666666395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44685.458333333059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113">
        <f ca="1">MAX(_xlfn.CEILING.MATH(TblProd[[#This Row],[Land]]*2.5+IFERROR(OFFSET(TblTech[[#This Row],[Sum of tech]],-1,0)*150,0)),3750)</f>
        <v>3750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 + OFFSET(TblConstr[[#This Row],[Tot WG]],1,0)*wg_mana_prod</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44685.458333333059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44685.499999999724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113">
        <f ca="1">MAX(_xlfn.CEILING.MATH(TblProd[[#This Row],[Land]]*2.5+IFERROR(OFFSET(TblTech[[#This Row],[Sum of tech]],-1,0)*150,0)),3750)</f>
        <v>3750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 + OFFSET(TblConstr[[#This Row],[Tot WG]],1,0)*wg_mana_prod</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44685.499999999724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44685.541666666388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113">
        <f ca="1">MAX(_xlfn.CEILING.MATH(TblProd[[#This Row],[Land]]*2.5+IFERROR(OFFSET(TblTech[[#This Row],[Sum of tech]],-1,0)*150,0)),3750)</f>
        <v>3750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 + OFFSET(TblConstr[[#This Row],[Tot WG]],1,0)*wg_mana_prod</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44685.541666666388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44685.583333333052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113">
        <f ca="1">MAX(_xlfn.CEILING.MATH(TblProd[[#This Row],[Land]]*2.5+IFERROR(OFFSET(TblTech[[#This Row],[Sum of tech]],-1,0)*150,0)),3750)</f>
        <v>3750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 + OFFSET(TblConstr[[#This Row],[Tot WG]],1,0)*wg_mana_prod</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44685.583333333052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44685.624999999716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113">
        <f ca="1">MAX(_xlfn.CEILING.MATH(TblProd[[#This Row],[Land]]*2.5+IFERROR(OFFSET(TblTech[[#This Row],[Sum of tech]],-1,0)*150,0)),3750)</f>
        <v>3750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 + OFFSET(TblConstr[[#This Row],[Tot WG]],1,0)*wg_mana_prod</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44685.624999999716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44685.66666666638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113">
        <f ca="1">MAX(_xlfn.CEILING.MATH(TblProd[[#This Row],[Land]]*2.5+IFERROR(OFFSET(TblTech[[#This Row],[Sum of tech]],-1,0)*150,0)),3750)</f>
        <v>3750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 + OFFSET(TblConstr[[#This Row],[Tot WG]],1,0)*wg_mana_prod</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44685.66666666638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44685.708333333045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113">
        <f ca="1">MAX(_xlfn.CEILING.MATH(TblProd[[#This Row],[Land]]*2.5+IFERROR(OFFSET(TblTech[[#This Row],[Sum of tech]],-1,0)*150,0)),3750)</f>
        <v>3750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 + OFFSET(TblConstr[[#This Row],[Tot WG]],1,0)*wg_mana_prod</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44685.708333333045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44685.749999999709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113">
        <f ca="1">MAX(_xlfn.CEILING.MATH(TblProd[[#This Row],[Land]]*2.5+IFERROR(OFFSET(TblTech[[#This Row],[Sum of tech]],-1,0)*150,0)),3750)</f>
        <v>3750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 + OFFSET(TblConstr[[#This Row],[Tot WG]],1,0)*wg_mana_prod</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44685.749999999709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44685.791666666373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113">
        <f ca="1">MAX(_xlfn.CEILING.MATH(TblProd[[#This Row],[Land]]*2.5+IFERROR(OFFSET(TblTech[[#This Row],[Sum of tech]],-1,0)*150,0)),3750)</f>
        <v>3750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 + OFFSET(TblConstr[[#This Row],[Tot WG]],1,0)*wg_mana_prod</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44685.791666666373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44685.833333333037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113">
        <f ca="1">MAX(_xlfn.CEILING.MATH(TblProd[[#This Row],[Land]]*2.5+IFERROR(OFFSET(TblTech[[#This Row],[Sum of tech]],-1,0)*150,0)),3750)</f>
        <v>3750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 + OFFSET(TblConstr[[#This Row],[Tot WG]],1,0)*wg_mana_prod</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44685.833333333037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44685.874999999702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113">
        <f ca="1">MAX(_xlfn.CEILING.MATH(TblProd[[#This Row],[Land]]*2.5+IFERROR(OFFSET(TblTech[[#This Row],[Sum of tech]],-1,0)*150,0)),3750)</f>
        <v>3750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 + OFFSET(TblConstr[[#This Row],[Tot WG]],1,0)*wg_mana_prod</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44685.874999999702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44685.916666666366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113">
        <f ca="1">MAX(_xlfn.CEILING.MATH(TblProd[[#This Row],[Land]]*2.5+IFERROR(OFFSET(TblTech[[#This Row],[Sum of tech]],-1,0)*150,0)),3750)</f>
        <v>3750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 + OFFSET(TblConstr[[#This Row],[Tot WG]],1,0)*wg_mana_prod</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44685.916666666366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44685.95833333303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113">
        <f ca="1">MAX(_xlfn.CEILING.MATH(TblProd[[#This Row],[Land]]*2.5+IFERROR(OFFSET(TblTech[[#This Row],[Sum of tech]],-1,0)*150,0)),3750)</f>
        <v>3750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 + OFFSET(TblConstr[[#This Row],[Tot WG]],1,0)*wg_mana_prod</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44685.95833333303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44685.999999999694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113">
        <f ca="1">MAX(_xlfn.CEILING.MATH(TblProd[[#This Row],[Land]]*2.5+IFERROR(OFFSET(TblTech[[#This Row],[Sum of tech]],-1,0)*150,0)),3750)</f>
        <v>3750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 + OFFSET(TblConstr[[#This Row],[Tot WG]],1,0)*wg_mana_prod</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44685.999999999694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44686.041666666359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113">
        <f ca="1">MAX(_xlfn.CEILING.MATH(TblProd[[#This Row],[Land]]*2.5+IFERROR(OFFSET(TblTech[[#This Row],[Sum of tech]],-1,0)*150,0)),3750)</f>
        <v>3750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 + OFFSET(TblConstr[[#This Row],[Tot WG]],1,0)*wg_mana_prod</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44686.041666666359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44686.083333333023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113">
        <f ca="1">MAX(_xlfn.CEILING.MATH(TblProd[[#This Row],[Land]]*2.5+IFERROR(OFFSET(TblTech[[#This Row],[Sum of tech]],-1,0)*150,0)),3750)</f>
        <v>3750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 + OFFSET(TblConstr[[#This Row],[Tot WG]],1,0)*wg_mana_prod</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44686.083333333023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44686.124999999687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113">
        <f ca="1">MAX(_xlfn.CEILING.MATH(TblProd[[#This Row],[Land]]*2.5+IFERROR(OFFSET(TblTech[[#This Row],[Sum of tech]],-1,0)*150,0)),3750)</f>
        <v>3750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 + OFFSET(TblConstr[[#This Row],[Tot WG]],1,0)*wg_mana_prod</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44686.124999999687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44686.166666666351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113">
        <f ca="1">MAX(_xlfn.CEILING.MATH(TblProd[[#This Row],[Land]]*2.5+IFERROR(OFFSET(TblTech[[#This Row],[Sum of tech]],-1,0)*150,0)),3750)</f>
        <v>3750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 + OFFSET(TblConstr[[#This Row],[Tot WG]],1,0)*wg_mana_prod</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44686.166666666351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44686.208333333016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113">
        <f ca="1">MAX(_xlfn.CEILING.MATH(TblProd[[#This Row],[Land]]*2.5+IFERROR(OFFSET(TblTech[[#This Row],[Sum of tech]],-1,0)*150,0)),3750)</f>
        <v>3750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 + OFFSET(TblConstr[[#This Row],[Tot WG]],1,0)*wg_mana_prod</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44686.208333333016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44686.24999999968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113">
        <f ca="1">MAX(_xlfn.CEILING.MATH(TblProd[[#This Row],[Land]]*2.5+IFERROR(OFFSET(TblTech[[#This Row],[Sum of tech]],-1,0)*150,0)),3750)</f>
        <v>3750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 + OFFSET(TblConstr[[#This Row],[Tot WG]],1,0)*wg_mana_prod</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44686.24999999968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3" t="s">
        <v>321</v>
      </c>
      <c r="D1269" s="549"/>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64" priority="58" stopIfTrue="1">
      <formula>ROW()-2=#REF!</formula>
    </cfRule>
  </conditionalFormatting>
  <conditionalFormatting sqref="A1269:XFD1270">
    <cfRule type="expression" dxfId="63" priority="59" stopIfTrue="1">
      <formula>$C$1270&gt;144</formula>
    </cfRule>
  </conditionalFormatting>
  <conditionalFormatting sqref="E4:Q136">
    <cfRule type="expression" dxfId="62" priority="39" stopIfTrue="1">
      <formula>OR(ROW()-3=$C$1270,E4&lt;0)</formula>
    </cfRule>
  </conditionalFormatting>
  <conditionalFormatting sqref="BH4:BH136">
    <cfRule type="cellIs" dxfId="61" priority="61" stopIfTrue="1" operator="equal">
      <formula>"Nope"</formula>
    </cfRule>
  </conditionalFormatting>
  <conditionalFormatting sqref="A4:BM136">
    <cfRule type="expression" dxfId="60" priority="1" stopIfTrue="1">
      <formula>ROW()-3=$C$1270</formula>
    </cfRule>
    <cfRule type="expression" dxfId="59" priority="56">
      <formula>$A4="OOP"</formula>
    </cfRule>
    <cfRule type="expression" dxfId="58" priority="57">
      <formula>ROUND(($A4-1)/12,0)=INT($A4-1)/12</formula>
    </cfRule>
  </conditionalFormatting>
  <conditionalFormatting sqref="A1:XFD3">
    <cfRule type="expression" dxfId="5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8" t="s">
        <v>56</v>
      </c>
      <c r="P1" s="598"/>
      <c r="Q1" s="559"/>
      <c r="R1" s="134"/>
      <c r="S1" s="134"/>
      <c r="T1" s="134"/>
      <c r="U1" s="134"/>
      <c r="V1" s="134"/>
      <c r="W1" s="134"/>
      <c r="X1" s="134"/>
      <c r="Y1" s="134"/>
      <c r="Z1" s="134"/>
      <c r="AA1" s="134"/>
      <c r="AB1" s="134"/>
      <c r="AC1" s="134"/>
      <c r="AD1" s="134"/>
      <c r="AE1" s="134"/>
      <c r="AF1" s="134"/>
      <c r="AG1" s="134"/>
      <c r="AH1" s="134"/>
      <c r="AI1" s="226" t="s">
        <v>522</v>
      </c>
      <c r="AJ1" s="226" t="s">
        <v>525</v>
      </c>
      <c r="AK1" s="598" t="s">
        <v>77</v>
      </c>
      <c r="AL1" s="598"/>
      <c r="AM1" s="597" t="s">
        <v>523</v>
      </c>
      <c r="AN1" s="597"/>
      <c r="AO1" s="597" t="s">
        <v>524</v>
      </c>
      <c r="AP1" s="597"/>
      <c r="AQ1" s="597" t="s">
        <v>521</v>
      </c>
      <c r="AR1" s="597"/>
      <c r="AS1" s="134"/>
      <c r="AT1" s="134"/>
      <c r="AU1" s="134"/>
      <c r="AV1" s="134" t="s">
        <v>520</v>
      </c>
      <c r="AW1" s="134"/>
      <c r="AX1" s="90"/>
      <c r="AY1" s="597" t="s">
        <v>53</v>
      </c>
      <c r="AZ1" s="597"/>
      <c r="BA1" s="597"/>
      <c r="BB1" s="225"/>
      <c r="BC1" s="225"/>
      <c r="BD1" s="225"/>
      <c r="BE1" s="225"/>
      <c r="BF1" s="225"/>
      <c r="BG1" s="225"/>
      <c r="BH1" s="225"/>
      <c r="BI1" s="225"/>
      <c r="BJ1" s="225"/>
      <c r="BK1" s="225"/>
      <c r="BL1" s="225"/>
      <c r="BM1" s="225"/>
      <c r="BN1" s="225"/>
      <c r="BO1" s="225"/>
      <c r="BP1" s="225"/>
      <c r="BQ1" s="225"/>
      <c r="BR1" s="134"/>
      <c r="BS1" s="134"/>
      <c r="BT1" s="134"/>
      <c r="BU1" s="134"/>
      <c r="BV1" s="134"/>
      <c r="BW1" s="598" t="s">
        <v>84</v>
      </c>
      <c r="BX1" s="598"/>
      <c r="BY1" s="134"/>
      <c r="BZ1" s="134"/>
      <c r="CA1" s="134"/>
      <c r="CB1" s="134"/>
      <c r="CC1" s="134"/>
      <c r="CD1" s="134"/>
      <c r="CE1" s="134"/>
      <c r="CF1" s="134"/>
      <c r="CG1" s="134"/>
      <c r="CH1" s="134"/>
      <c r="CI1" s="134"/>
      <c r="CJ1" s="134"/>
      <c r="CK1" s="134"/>
      <c r="CL1" s="134"/>
      <c r="CM1" s="134"/>
      <c r="CN1" s="134"/>
      <c r="CO1" s="134"/>
      <c r="CP1" s="134"/>
      <c r="CQ1" s="597" t="s">
        <v>18</v>
      </c>
      <c r="CR1" s="597"/>
      <c r="CS1" s="225"/>
      <c r="CT1" s="225"/>
      <c r="CU1" s="225"/>
      <c r="CV1" s="225"/>
      <c r="CW1" s="225"/>
      <c r="CX1" s="134"/>
      <c r="CY1" s="134"/>
      <c r="CZ1" s="598" t="s">
        <v>300</v>
      </c>
      <c r="DA1" s="598"/>
      <c r="DB1" s="598"/>
      <c r="DC1" s="598"/>
      <c r="DD1" s="598"/>
      <c r="DE1" s="134"/>
      <c r="DF1" s="134"/>
      <c r="DG1" s="598" t="s">
        <v>263</v>
      </c>
      <c r="DH1" s="598"/>
      <c r="DI1" s="134" t="s">
        <v>540</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1027</v>
      </c>
      <c r="E3" s="176" t="s">
        <v>791</v>
      </c>
      <c r="F3" s="176" t="s">
        <v>1</v>
      </c>
      <c r="G3" s="221" t="s">
        <v>249</v>
      </c>
      <c r="H3" s="176" t="s">
        <v>58</v>
      </c>
      <c r="I3" s="176" t="s">
        <v>251</v>
      </c>
      <c r="J3" s="176" t="s">
        <v>250</v>
      </c>
      <c r="K3" s="176" t="s">
        <v>60</v>
      </c>
      <c r="L3" s="176" t="s">
        <v>248</v>
      </c>
      <c r="M3" s="176" t="s">
        <v>62</v>
      </c>
      <c r="N3" s="176" t="s">
        <v>1071</v>
      </c>
      <c r="O3" s="222" t="s">
        <v>72</v>
      </c>
      <c r="P3" s="222" t="s">
        <v>71</v>
      </c>
      <c r="Q3" s="222" t="s">
        <v>70</v>
      </c>
      <c r="R3" s="222" t="s">
        <v>69</v>
      </c>
      <c r="S3" s="222" t="s">
        <v>68</v>
      </c>
      <c r="T3" s="222" t="s">
        <v>63</v>
      </c>
      <c r="U3" s="222" t="s">
        <v>353</v>
      </c>
      <c r="V3" s="222" t="s">
        <v>64</v>
      </c>
      <c r="W3" s="222" t="s">
        <v>65</v>
      </c>
      <c r="X3" s="222" t="s">
        <v>66</v>
      </c>
      <c r="Y3" s="222" t="s">
        <v>67</v>
      </c>
      <c r="Z3" s="222" t="s">
        <v>355</v>
      </c>
      <c r="AA3" s="222" t="s">
        <v>358</v>
      </c>
      <c r="AB3" s="222" t="s">
        <v>74</v>
      </c>
      <c r="AC3" s="222" t="s">
        <v>356</v>
      </c>
      <c r="AD3" s="222" t="s">
        <v>302</v>
      </c>
      <c r="AE3" s="222" t="s">
        <v>75</v>
      </c>
      <c r="AF3" s="222" t="s">
        <v>376</v>
      </c>
      <c r="AG3" s="222" t="s">
        <v>76</v>
      </c>
      <c r="AH3" s="176" t="s">
        <v>368</v>
      </c>
      <c r="AI3" s="176" t="s">
        <v>835</v>
      </c>
      <c r="AJ3" s="176" t="s">
        <v>836</v>
      </c>
      <c r="AK3" s="176" t="s">
        <v>2</v>
      </c>
      <c r="AL3" s="176" t="s">
        <v>7</v>
      </c>
      <c r="AM3" s="176" t="s">
        <v>831</v>
      </c>
      <c r="AN3" s="176" t="s">
        <v>832</v>
      </c>
      <c r="AO3" s="176" t="s">
        <v>833</v>
      </c>
      <c r="AP3" s="176" t="s">
        <v>834</v>
      </c>
      <c r="AQ3" s="176" t="s">
        <v>1059</v>
      </c>
      <c r="AR3" s="176" t="s">
        <v>1060</v>
      </c>
      <c r="AS3" s="176" t="s">
        <v>526</v>
      </c>
      <c r="AT3" s="176" t="s">
        <v>527</v>
      </c>
      <c r="AU3" s="176" t="s">
        <v>792</v>
      </c>
      <c r="AV3" s="176" t="s">
        <v>837</v>
      </c>
      <c r="AW3" s="176" t="s">
        <v>838</v>
      </c>
      <c r="AX3" s="176" t="s">
        <v>793</v>
      </c>
      <c r="AY3" s="221" t="s">
        <v>839</v>
      </c>
      <c r="AZ3" s="176" t="s">
        <v>840</v>
      </c>
      <c r="BA3" s="176" t="s">
        <v>841</v>
      </c>
      <c r="BB3" s="176" t="s">
        <v>842</v>
      </c>
      <c r="BC3" s="176" t="s">
        <v>843</v>
      </c>
      <c r="BD3" s="176" t="s">
        <v>844</v>
      </c>
      <c r="BE3" s="176" t="s">
        <v>845</v>
      </c>
      <c r="BF3" s="176" t="s">
        <v>846</v>
      </c>
      <c r="BG3" s="176" t="s">
        <v>847</v>
      </c>
      <c r="BH3" s="176" t="s">
        <v>848</v>
      </c>
      <c r="BI3" s="176" t="s">
        <v>849</v>
      </c>
      <c r="BJ3" s="176" t="s">
        <v>850</v>
      </c>
      <c r="BK3" s="176" t="s">
        <v>851</v>
      </c>
      <c r="BL3" s="176" t="s">
        <v>852</v>
      </c>
      <c r="BM3" s="176" t="s">
        <v>853</v>
      </c>
      <c r="BN3" s="176" t="s">
        <v>854</v>
      </c>
      <c r="BO3" s="176" t="s">
        <v>855</v>
      </c>
      <c r="BP3" s="176" t="s">
        <v>856</v>
      </c>
      <c r="BQ3" s="223" t="s">
        <v>857</v>
      </c>
      <c r="BR3" s="176" t="s">
        <v>809</v>
      </c>
      <c r="BS3" s="176" t="s">
        <v>810</v>
      </c>
      <c r="BT3" s="176" t="s">
        <v>902</v>
      </c>
      <c r="BU3" s="176" t="s">
        <v>880</v>
      </c>
      <c r="BV3" s="176" t="s">
        <v>811</v>
      </c>
      <c r="BW3" s="176" t="s">
        <v>1042</v>
      </c>
      <c r="BX3" s="176" t="s">
        <v>923</v>
      </c>
      <c r="BY3" s="176" t="s">
        <v>924</v>
      </c>
      <c r="BZ3" s="176" t="s">
        <v>925</v>
      </c>
      <c r="CA3" s="176" t="s">
        <v>926</v>
      </c>
      <c r="CB3" s="176" t="s">
        <v>927</v>
      </c>
      <c r="CC3" s="176" t="s">
        <v>928</v>
      </c>
      <c r="CD3" s="176" t="s">
        <v>929</v>
      </c>
      <c r="CE3" s="176" t="s">
        <v>930</v>
      </c>
      <c r="CF3" s="176" t="s">
        <v>931</v>
      </c>
      <c r="CG3" s="176" t="s">
        <v>932</v>
      </c>
      <c r="CH3" s="176" t="s">
        <v>933</v>
      </c>
      <c r="CI3" s="176" t="s">
        <v>934</v>
      </c>
      <c r="CJ3" s="176" t="s">
        <v>935</v>
      </c>
      <c r="CK3" s="176" t="s">
        <v>936</v>
      </c>
      <c r="CL3" s="176" t="s">
        <v>937</v>
      </c>
      <c r="CM3" s="176" t="s">
        <v>938</v>
      </c>
      <c r="CN3" s="176" t="s">
        <v>939</v>
      </c>
      <c r="CO3" s="176" t="s">
        <v>940</v>
      </c>
      <c r="CP3" s="176" t="s">
        <v>886</v>
      </c>
      <c r="CQ3" s="176" t="s">
        <v>823</v>
      </c>
      <c r="CR3" s="176" t="s">
        <v>824</v>
      </c>
      <c r="CS3" s="176" t="s">
        <v>825</v>
      </c>
      <c r="CT3" s="176" t="s">
        <v>826</v>
      </c>
      <c r="CU3" s="176" t="s">
        <v>827</v>
      </c>
      <c r="CV3" s="176" t="s">
        <v>828</v>
      </c>
      <c r="CW3" s="176" t="s">
        <v>829</v>
      </c>
      <c r="CX3" s="176" t="s">
        <v>263</v>
      </c>
      <c r="CY3" s="176" t="s">
        <v>887</v>
      </c>
      <c r="CZ3" s="176" t="s">
        <v>891</v>
      </c>
      <c r="DA3" s="176" t="s">
        <v>892</v>
      </c>
      <c r="DB3" s="176" t="s">
        <v>893</v>
      </c>
      <c r="DC3" s="176" t="s">
        <v>894</v>
      </c>
      <c r="DD3" s="176" t="s">
        <v>895</v>
      </c>
      <c r="DE3" s="176" t="s">
        <v>896</v>
      </c>
      <c r="DF3" s="176" t="s">
        <v>897</v>
      </c>
      <c r="DG3" s="176" t="s">
        <v>830</v>
      </c>
      <c r="DH3" s="176" t="s">
        <v>301</v>
      </c>
      <c r="DI3" s="176" t="s">
        <v>541</v>
      </c>
      <c r="DJ3" s="176" t="s">
        <v>542</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44680.75</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44680.75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44680.791666666664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44680.791666666664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44680.833333333328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44680.833333333328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44680.874999999993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44680.874999999993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44680.916666666657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44680.916666666657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44680.958333333321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44680.958333333321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44680.999999999985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44680.999999999985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44681.04166666665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44681.04166666665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44681.083333333314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44681.083333333314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44681.124999999978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44681.124999999978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44681.166666666642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44681.166666666642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44681.208333333307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44681.208333333307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44681.249999999971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44681.249999999971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44681.291666666635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44681.291666666635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44681.333333333299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44681.333333333299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44681.374999999964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44681.374999999964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44681.416666666628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44681.416666666628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44681.458333333292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44681.458333333292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44681.499999999956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44681.499999999956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44681.541666666621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44681.541666666621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44681.583333333285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44681.583333333285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44681.624999999949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44681.624999999949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44681.666666666613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44681.666666666613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44681.708333333278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44681.708333333278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44681.749999999942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44681.749999999942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44681.791666666606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44681.791666666606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44681.83333333327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44681.83333333327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44681.874999999935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44681.874999999935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44681.916666666599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44681.916666666599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44681.958333333263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44681.958333333263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44681.999999999927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44681.999999999927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44682.041666666591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44682.041666666591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44682.083333333256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44682.083333333256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44682.12499999992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44682.12499999992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44682.166666666584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44682.166666666584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44682.208333333248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44682.208333333248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44682.249999999913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44682.249999999913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44682.291666666577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44682.291666666577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44682.333333333241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44682.333333333241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44682.374999999905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44682.374999999905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44682.41666666657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44682.41666666657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44682.458333333234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44682.458333333234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44682.499999999898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44682.499999999898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44682.541666666562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44682.541666666562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44682.583333333227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44682.583333333227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44682.624999999891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44682.624999999891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44682.666666666555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44682.666666666555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44682.708333333219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44682.708333333219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44682.749999999884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44682.749999999884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44682.791666666548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44682.791666666548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44682.833333333212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44682.833333333212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44682.874999999876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44682.874999999876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44682.916666666541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44682.916666666541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44682.958333333205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44682.958333333205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44682.999999999869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44682.999999999869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44683.041666666533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44683.041666666533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44683.083333333198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44683.083333333198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44683.124999999862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44683.124999999862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44683.166666666526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44683.166666666526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44683.20833333319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44683.20833333319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44683.249999999854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44683.249999999854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44683.291666666519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44683.291666666519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44683.333333333183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44683.333333333183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44683.374999999847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44683.374999999847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44683.416666666511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44683.416666666511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44683.458333333176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44683.458333333176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44683.49999999984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44683.49999999984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44683.541666666504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44683.541666666504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44683.583333333168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44683.583333333168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44683.624999999833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44683.624999999833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44683.666666666497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44683.666666666497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44683.708333333161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44683.708333333161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44683.749999999825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44683.749999999825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44683.79166666649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44683.79166666649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44683.833333333154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44683.833333333154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44683.874999999818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44683.874999999818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44683.916666666482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44683.916666666482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44683.958333333147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44683.958333333147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44683.999999999811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44683.999999999811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44684.041666666475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44684.041666666475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44684.083333333139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44684.083333333139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44684.124999999804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44684.124999999804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44684.166666666468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44684.166666666468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44684.208333333132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44684.208333333132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44684.249999999796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44684.249999999796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44684.291666666461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44684.291666666461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44684.333333333125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44684.333333333125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44684.374999999789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44684.374999999789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44684.416666666453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44684.416666666453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44684.458333333117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44684.458333333117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44684.499999999782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44684.499999999782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44684.541666666446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44684.541666666446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44684.58333333311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44684.58333333311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44684.624999999774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44684.624999999774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44684.666666666439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44684.666666666439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44684.708333333103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44684.708333333103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44684.749999999767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44684.749999999767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44684.791666666431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44684.791666666431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44684.833333333096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44684.833333333096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44684.87499999976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44684.87499999976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44684.916666666424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44684.916666666424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44684.958333333088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44684.958333333088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44684.999999999753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44684.999999999753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44685.041666666417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44685.041666666417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44685.083333333081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44685.083333333081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44685.124999999745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44685.124999999745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44685.16666666641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44685.16666666641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44685.208333333074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44685.208333333074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44685.249999999738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44685.249999999738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44685.291666666402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44685.291666666402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44685.333333333067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44685.333333333067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44685.374999999731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44685.374999999731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44685.416666666395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44685.416666666395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44685.458333333059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44685.458333333059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44685.499999999724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44685.499999999724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44685.541666666388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44685.541666666388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44685.583333333052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44685.583333333052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44685.624999999716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44685.624999999716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44685.66666666638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44685.66666666638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44685.708333333045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44685.708333333045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44685.749999999709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44685.749999999709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44685.791666666373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44685.791666666373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44685.833333333037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44685.833333333037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44685.874999999702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44685.874999999702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44685.916666666366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44685.916666666366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44685.95833333303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44685.95833333303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44685.999999999694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44685.999999999694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44686.041666666359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44686.041666666359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44686.083333333023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44686.083333333023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44686.124999999687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44686.124999999687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44686.166666666351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44686.166666666351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44686.208333333016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44686.208333333016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44686.24999999968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44686.24999999968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9" t="s">
        <v>321</v>
      </c>
      <c r="B1269" s="559"/>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56" priority="67" stopIfTrue="1">
      <formula>XEZ137&lt;0</formula>
    </cfRule>
  </conditionalFormatting>
  <conditionalFormatting sqref="A137:D1268 A1271:D65537 F1271:H65537 F137:H1268">
    <cfRule type="expression" dxfId="55" priority="68" stopIfTrue="1">
      <formula>XEV137&lt;0</formula>
    </cfRule>
  </conditionalFormatting>
  <conditionalFormatting sqref="E1271:E65537 E137:E1268">
    <cfRule type="expression" dxfId="54" priority="69" stopIfTrue="1">
      <formula>XEU137&lt;0</formula>
    </cfRule>
  </conditionalFormatting>
  <conditionalFormatting sqref="DI1271:DJ52023 O1271:AG52052 O137:AG1268 BV1271:DH52052 BV137:DJ1268">
    <cfRule type="expression" dxfId="53" priority="70" stopIfTrue="1">
      <formula>ROW()-2=#REF!</formula>
    </cfRule>
  </conditionalFormatting>
  <conditionalFormatting sqref="A1269:AG1270 BV1269:DJ1270">
    <cfRule type="expression" dxfId="52" priority="71" stopIfTrue="1">
      <formula>$A$1270&gt;144</formula>
    </cfRule>
  </conditionalFormatting>
  <conditionalFormatting sqref="K1271:L65537 K137:L1268">
    <cfRule type="expression" dxfId="51" priority="89" stopIfTrue="1">
      <formula>A137&lt;0</formula>
    </cfRule>
  </conditionalFormatting>
  <conditionalFormatting sqref="AY4:BQ136">
    <cfRule type="expression" dxfId="50" priority="1" stopIfTrue="1">
      <formula>OR(AY4&lt;0,ROW()-3=$A$1270)</formula>
    </cfRule>
  </conditionalFormatting>
  <conditionalFormatting sqref="I1271:J65537 I137:J1268">
    <cfRule type="expression" dxfId="49" priority="92" stopIfTrue="1">
      <formula>A137&lt;0</formula>
    </cfRule>
  </conditionalFormatting>
  <conditionalFormatting sqref="A4:DJ136">
    <cfRule type="expression" dxfId="48" priority="7" stopIfTrue="1">
      <formula>ROW()-3=$A$1270</formula>
    </cfRule>
    <cfRule type="expression" dxfId="47" priority="130">
      <formula>$A4=73</formula>
    </cfRule>
    <cfRule type="expression" dxfId="46" priority="131">
      <formula>ROUND(($A4-1)/12,0)=INT($A4-1)/12</formula>
    </cfRule>
  </conditionalFormatting>
  <conditionalFormatting sqref="A1:XFD3">
    <cfRule type="expression" dxfId="4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601" t="s">
        <v>306</v>
      </c>
      <c r="M1" s="549"/>
      <c r="N1" s="549"/>
      <c r="O1" s="549"/>
      <c r="P1" s="549"/>
      <c r="Q1" s="549"/>
      <c r="R1" s="174"/>
      <c r="S1" s="90" t="s">
        <v>360</v>
      </c>
      <c r="T1" s="90" t="s">
        <v>181</v>
      </c>
      <c r="AB1" s="600" t="s">
        <v>77</v>
      </c>
      <c r="AC1" s="600"/>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791</v>
      </c>
      <c r="D3" s="176" t="s">
        <v>55</v>
      </c>
      <c r="E3" s="176" t="s">
        <v>58</v>
      </c>
      <c r="F3" s="176" t="s">
        <v>1050</v>
      </c>
      <c r="G3" s="176" t="s">
        <v>59</v>
      </c>
      <c r="H3" s="176" t="s">
        <v>60</v>
      </c>
      <c r="I3" s="176" t="s">
        <v>61</v>
      </c>
      <c r="J3" s="176" t="s">
        <v>62</v>
      </c>
      <c r="K3" s="277" t="s">
        <v>898</v>
      </c>
      <c r="L3" s="277" t="s">
        <v>899</v>
      </c>
      <c r="M3" s="277" t="s">
        <v>900</v>
      </c>
      <c r="N3" s="278" t="s">
        <v>189</v>
      </c>
      <c r="O3" s="278" t="s">
        <v>370</v>
      </c>
      <c r="P3" s="278" t="s">
        <v>369</v>
      </c>
      <c r="Q3" s="176" t="s">
        <v>902</v>
      </c>
      <c r="R3" s="176" t="s">
        <v>875</v>
      </c>
      <c r="S3" s="176" t="s">
        <v>903</v>
      </c>
      <c r="T3" s="176" t="s">
        <v>1043</v>
      </c>
      <c r="U3" s="176" t="s">
        <v>1044</v>
      </c>
      <c r="V3" s="176" t="s">
        <v>1045</v>
      </c>
      <c r="W3" s="176" t="s">
        <v>1046</v>
      </c>
      <c r="X3" s="176" t="s">
        <v>1047</v>
      </c>
      <c r="Y3" s="176" t="s">
        <v>1048</v>
      </c>
      <c r="Z3" s="176" t="s">
        <v>1049</v>
      </c>
      <c r="AA3" s="176" t="s">
        <v>316</v>
      </c>
      <c r="AB3" s="176" t="s">
        <v>24</v>
      </c>
      <c r="AC3" s="176" t="s">
        <v>2</v>
      </c>
      <c r="AD3" s="176" t="s">
        <v>792</v>
      </c>
      <c r="AE3" s="176" t="s">
        <v>517</v>
      </c>
      <c r="AF3" s="176" t="s">
        <v>57</v>
      </c>
      <c r="AG3" s="176" t="s">
        <v>183</v>
      </c>
      <c r="AH3" s="176" t="s">
        <v>901</v>
      </c>
      <c r="AI3" s="176" t="s">
        <v>888</v>
      </c>
      <c r="AJ3" s="279" t="s">
        <v>779</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44680.75</v>
      </c>
      <c r="AB4" s="113">
        <f ca="1">TblMili[[#This Row],[Draftees]]</f>
        <v>100</v>
      </c>
      <c r="AC4" s="113">
        <f ca="1">TblProd[[#This Row],[Platinum]]</f>
        <v>100000</v>
      </c>
      <c r="AD4" s="281"/>
      <c r="AE4" s="49">
        <f ca="1">TblExplore[[#This Row],[Land]]-TblExplore[[#This Row],[Land Bonus]]*20</f>
        <v>250</v>
      </c>
      <c r="AF4" s="113">
        <f ca="1">ROUND(MAX(0.6*TblExplore[[#This Row],[Land-DB]]^1.299,850)*(1+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44680.791666666664</v>
      </c>
      <c r="AB5" s="113">
        <f ca="1">TblMili[[#This Row],[Draftees]]</f>
        <v>113</v>
      </c>
      <c r="AC5" s="113">
        <f ca="1">TblProd[[#This Row],[Platinum]]</f>
        <v>104860</v>
      </c>
      <c r="AD5" s="281"/>
      <c r="AE5" s="49">
        <f ca="1">TblExplore[[#This Row],[Land]]-TblExplore[[#This Row],[Land Bonus]]*20</f>
        <v>250</v>
      </c>
      <c r="AF5" s="113">
        <f ca="1">ROUND(MAX(0.6*TblExplore[[#This Row],[Land-DB]]^1.299,850)*(1+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44680.833333333328</v>
      </c>
      <c r="AB6" s="113">
        <f ca="1">TblMili[[#This Row],[Draftees]]</f>
        <v>126</v>
      </c>
      <c r="AC6" s="113">
        <f ca="1">TblProd[[#This Row],[Platinum]]</f>
        <v>109790</v>
      </c>
      <c r="AD6" s="281"/>
      <c r="AE6" s="49">
        <f ca="1">TblExplore[[#This Row],[Land]]-TblExplore[[#This Row],[Land Bonus]]*20</f>
        <v>250</v>
      </c>
      <c r="AF6" s="113">
        <f ca="1">ROUND(MAX(0.6*TblExplore[[#This Row],[Land-DB]]^1.299,850)*(1+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44680.874999999993</v>
      </c>
      <c r="AB7" s="113">
        <f ca="1">TblMili[[#This Row],[Draftees]]</f>
        <v>140</v>
      </c>
      <c r="AC7" s="113">
        <f ca="1">TblProd[[#This Row],[Platinum]]</f>
        <v>114790</v>
      </c>
      <c r="AD7" s="281"/>
      <c r="AE7" s="49">
        <f ca="1">TblExplore[[#This Row],[Land]]-TblExplore[[#This Row],[Land Bonus]]*20</f>
        <v>250</v>
      </c>
      <c r="AF7" s="113">
        <f ca="1">ROUND(MAX(0.6*TblExplore[[#This Row],[Land-DB]]^1.299,850)*(1+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44680.916666666657</v>
      </c>
      <c r="AB8" s="113">
        <f ca="1">TblMili[[#This Row],[Draftees]]</f>
        <v>154</v>
      </c>
      <c r="AC8" s="113">
        <f ca="1">TblProd[[#This Row],[Platinum]]</f>
        <v>119860</v>
      </c>
      <c r="AD8" s="281"/>
      <c r="AE8" s="49">
        <f ca="1">TblExplore[[#This Row],[Land]]-TblExplore[[#This Row],[Land Bonus]]*20</f>
        <v>250</v>
      </c>
      <c r="AF8" s="113">
        <f ca="1">ROUND(MAX(0.6*TblExplore[[#This Row],[Land-DB]]^1.299,850)*(1+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44680.958333333321</v>
      </c>
      <c r="AB9" s="113">
        <f ca="1">TblMili[[#This Row],[Draftees]]</f>
        <v>168</v>
      </c>
      <c r="AC9" s="113">
        <f ca="1">TblProd[[#This Row],[Platinum]]</f>
        <v>125003</v>
      </c>
      <c r="AD9" s="281"/>
      <c r="AE9" s="49">
        <f ca="1">TblExplore[[#This Row],[Land]]-TblExplore[[#This Row],[Land Bonus]]*20</f>
        <v>250</v>
      </c>
      <c r="AF9" s="113">
        <f ca="1">ROUND(MAX(0.6*TblExplore[[#This Row],[Land-DB]]^1.299,850)*(1+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44680.999999999985</v>
      </c>
      <c r="AB10" s="113">
        <f ca="1">TblMili[[#This Row],[Draftees]]</f>
        <v>182</v>
      </c>
      <c r="AC10" s="113">
        <f ca="1">TblProd[[#This Row],[Platinum]]</f>
        <v>130222</v>
      </c>
      <c r="AD10" s="281"/>
      <c r="AE10" s="49">
        <f ca="1">TblExplore[[#This Row],[Land]]-TblExplore[[#This Row],[Land Bonus]]*20</f>
        <v>250</v>
      </c>
      <c r="AF10" s="113">
        <f ca="1">ROUND(MAX(0.6*TblExplore[[#This Row],[Land-DB]]^1.299,850)*(1+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44681.04166666665</v>
      </c>
      <c r="AB11" s="113">
        <f ca="1">TblMili[[#This Row],[Draftees]]</f>
        <v>197</v>
      </c>
      <c r="AC11" s="113">
        <f ca="1">TblProd[[#This Row],[Platinum]]</f>
        <v>135519</v>
      </c>
      <c r="AD11" s="281"/>
      <c r="AE11" s="49">
        <f ca="1">TblExplore[[#This Row],[Land]]-TblExplore[[#This Row],[Land Bonus]]*20</f>
        <v>250</v>
      </c>
      <c r="AF11" s="113">
        <f ca="1">ROUND(MAX(0.6*TblExplore[[#This Row],[Land-DB]]^1.299,850)*(1+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44681.083333333314</v>
      </c>
      <c r="AB12" s="113">
        <f ca="1">TblMili[[#This Row],[Draftees]]</f>
        <v>212</v>
      </c>
      <c r="AC12" s="113">
        <f ca="1">TblProd[[#This Row],[Platinum]]</f>
        <v>140892</v>
      </c>
      <c r="AD12" s="281"/>
      <c r="AE12" s="49">
        <f ca="1">TblExplore[[#This Row],[Land]]-TblExplore[[#This Row],[Land Bonus]]*20</f>
        <v>250</v>
      </c>
      <c r="AF12" s="113">
        <f ca="1">ROUND(MAX(0.6*TblExplore[[#This Row],[Land-DB]]^1.299,850)*(1+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44681.124999999978</v>
      </c>
      <c r="AB13" s="113">
        <f ca="1">TblMili[[#This Row],[Draftees]]</f>
        <v>227</v>
      </c>
      <c r="AC13" s="113">
        <f ca="1">TblProd[[#This Row],[Platinum]]</f>
        <v>146343</v>
      </c>
      <c r="AD13" s="281"/>
      <c r="AE13" s="49">
        <f ca="1">TblExplore[[#This Row],[Land]]-TblExplore[[#This Row],[Land Bonus]]*20</f>
        <v>250</v>
      </c>
      <c r="AF13" s="113">
        <f ca="1">ROUND(MAX(0.6*TblExplore[[#This Row],[Land-DB]]^1.299,850)*(1+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44681.166666666642</v>
      </c>
      <c r="AB14" s="113">
        <f ca="1">TblMili[[#This Row],[Draftees]]</f>
        <v>242</v>
      </c>
      <c r="AC14" s="113">
        <f ca="1">TblProd[[#This Row],[Platinum]]</f>
        <v>151875</v>
      </c>
      <c r="AD14" s="281"/>
      <c r="AE14" s="49">
        <f ca="1">TblExplore[[#This Row],[Land]]-TblExplore[[#This Row],[Land Bonus]]*20</f>
        <v>250</v>
      </c>
      <c r="AF14" s="113">
        <f ca="1">ROUND(MAX(0.6*TblExplore[[#This Row],[Land-DB]]^1.299,850)*(1+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44681.208333333307</v>
      </c>
      <c r="AB15" s="113">
        <f ca="1">TblMili[[#This Row],[Draftees]]</f>
        <v>258</v>
      </c>
      <c r="AC15" s="113">
        <f ca="1">TblProd[[#This Row],[Platinum]]</f>
        <v>157491</v>
      </c>
      <c r="AD15" s="281"/>
      <c r="AE15" s="49">
        <f ca="1">TblExplore[[#This Row],[Land]]-TblExplore[[#This Row],[Land Bonus]]*20</f>
        <v>250</v>
      </c>
      <c r="AF15" s="113">
        <f ca="1">ROUND(MAX(0.6*TblExplore[[#This Row],[Land-DB]]^1.299,850)*(1+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387</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44681.249999999971</v>
      </c>
      <c r="AB16" s="113">
        <f ca="1">TblMili[[#This Row],[Draftees]]</f>
        <v>274</v>
      </c>
      <c r="AC16" s="113">
        <f ca="1">TblProd[[#This Row],[Platinum]]</f>
        <v>163161</v>
      </c>
      <c r="AD16" s="281"/>
      <c r="AE16" s="49">
        <f ca="1">TblExplore[[#This Row],[Land]]-TblExplore[[#This Row],[Land Bonus]]*20</f>
        <v>250</v>
      </c>
      <c r="AF16" s="113">
        <f ca="1">ROUND(MAX(0.6*TblExplore[[#This Row],[Land-DB]]^1.299,850)*(1+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374</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44681.291666666635</v>
      </c>
      <c r="AB17" s="113">
        <f ca="1">TblMili[[#This Row],[Draftees]]</f>
        <v>290</v>
      </c>
      <c r="AC17" s="113">
        <f ca="1">TblProd[[#This Row],[Platinum]]</f>
        <v>168831</v>
      </c>
      <c r="AD17" s="281"/>
      <c r="AE17" s="49">
        <f ca="1">TblExplore[[#This Row],[Land]]-TblExplore[[#This Row],[Land Bonus]]*20</f>
        <v>250</v>
      </c>
      <c r="AF17" s="113">
        <f ca="1">ROUND(MAX(0.6*TblExplore[[#This Row],[Land-DB]]^1.299,850)*(1+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373</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44681.333333333299</v>
      </c>
      <c r="AB18" s="113">
        <f ca="1">TblMili[[#This Row],[Draftees]]</f>
        <v>307</v>
      </c>
      <c r="AC18" s="113">
        <f ca="1">TblProd[[#This Row],[Platinum]]</f>
        <v>174501</v>
      </c>
      <c r="AD18" s="281"/>
      <c r="AE18" s="49">
        <f ca="1">TblExplore[[#This Row],[Land]]-TblExplore[[#This Row],[Land Bonus]]*20</f>
        <v>250</v>
      </c>
      <c r="AF18" s="113">
        <f ca="1">ROUND(MAX(0.6*TblExplore[[#This Row],[Land-DB]]^1.299,850)*(1+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371</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44681.374999999964</v>
      </c>
      <c r="AB19" s="113">
        <f ca="1">TblMili[[#This Row],[Draftees]]</f>
        <v>324</v>
      </c>
      <c r="AC19" s="113">
        <f ca="1">TblProd[[#This Row],[Platinum]]</f>
        <v>180171</v>
      </c>
      <c r="AD19" s="281"/>
      <c r="AE19" s="49">
        <f ca="1">TblExplore[[#This Row],[Land]]-TblExplore[[#This Row],[Land Bonus]]*20</f>
        <v>250</v>
      </c>
      <c r="AF19" s="113">
        <f ca="1">ROUND(MAX(0.6*TblExplore[[#This Row],[Land-DB]]^1.299,850)*(1+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372</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44681.416666666628</v>
      </c>
      <c r="AB20" s="113">
        <f ca="1">TblMili[[#This Row],[Draftees]]</f>
        <v>341</v>
      </c>
      <c r="AC20" s="113">
        <f ca="1">TblProd[[#This Row],[Platinum]]</f>
        <v>185841</v>
      </c>
      <c r="AD20" s="281"/>
      <c r="AE20" s="49">
        <f ca="1">TblExplore[[#This Row],[Land]]-TblExplore[[#This Row],[Land Bonus]]*20</f>
        <v>250</v>
      </c>
      <c r="AF20" s="113">
        <f ca="1">ROUND(MAX(0.6*TblExplore[[#This Row],[Land-DB]]^1.299,850)*(1+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44681.458333333292</v>
      </c>
      <c r="AB21" s="113">
        <f ca="1">TblMili[[#This Row],[Draftees]]</f>
        <v>359</v>
      </c>
      <c r="AC21" s="113">
        <f ca="1">TblProd[[#This Row],[Platinum]]</f>
        <v>191511</v>
      </c>
      <c r="AD21" s="281"/>
      <c r="AE21" s="49">
        <f ca="1">TblExplore[[#This Row],[Land]]-TblExplore[[#This Row],[Land Bonus]]*20</f>
        <v>250</v>
      </c>
      <c r="AF21" s="113">
        <f ca="1">ROUND(MAX(0.6*TblExplore[[#This Row],[Land-DB]]^1.299,850)*(1+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44681.499999999956</v>
      </c>
      <c r="AB22" s="113">
        <f ca="1">TblMili[[#This Row],[Draftees]]</f>
        <v>377</v>
      </c>
      <c r="AC22" s="113">
        <f ca="1">TblProd[[#This Row],[Platinum]]</f>
        <v>197181</v>
      </c>
      <c r="AD22" s="281"/>
      <c r="AE22" s="49">
        <f ca="1">TblExplore[[#This Row],[Land]]-TblExplore[[#This Row],[Land Bonus]]*20</f>
        <v>250</v>
      </c>
      <c r="AF22" s="113">
        <f ca="1">ROUND(MAX(0.6*TblExplore[[#This Row],[Land-DB]]^1.299,850)*(1+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44681.541666666621</v>
      </c>
      <c r="AB23" s="113">
        <f ca="1">TblMili[[#This Row],[Draftees]]</f>
        <v>395</v>
      </c>
      <c r="AC23" s="113">
        <f ca="1">TblProd[[#This Row],[Platinum]]</f>
        <v>202851</v>
      </c>
      <c r="AD23" s="281"/>
      <c r="AE23" s="49">
        <f ca="1">TblExplore[[#This Row],[Land]]-TblExplore[[#This Row],[Land Bonus]]*20</f>
        <v>250</v>
      </c>
      <c r="AF23" s="113">
        <f ca="1">ROUND(MAX(0.6*TblExplore[[#This Row],[Land-DB]]^1.299,850)*(1+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44681.583333333285</v>
      </c>
      <c r="AB24" s="113">
        <f ca="1">TblMili[[#This Row],[Draftees]]</f>
        <v>413</v>
      </c>
      <c r="AC24" s="113">
        <f ca="1">TblProd[[#This Row],[Platinum]]</f>
        <v>208521</v>
      </c>
      <c r="AD24" s="281"/>
      <c r="AE24" s="49">
        <f ca="1">TblExplore[[#This Row],[Land]]-TblExplore[[#This Row],[Land Bonus]]*20</f>
        <v>250</v>
      </c>
      <c r="AF24" s="113">
        <f ca="1">ROUND(MAX(0.6*TblExplore[[#This Row],[Land-DB]]^1.299,850)*(1+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388</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44681.624999999949</v>
      </c>
      <c r="AB25" s="113">
        <f ca="1">TblMili[[#This Row],[Draftees]]</f>
        <v>430</v>
      </c>
      <c r="AC25" s="113">
        <f ca="1">TblProd[[#This Row],[Platinum]]</f>
        <v>214191</v>
      </c>
      <c r="AD25" s="281"/>
      <c r="AE25" s="49">
        <f ca="1">TblExplore[[#This Row],[Land]]-TblExplore[[#This Row],[Land Bonus]]*20</f>
        <v>250</v>
      </c>
      <c r="AF25" s="113">
        <f ca="1">ROUND(MAX(0.6*TblExplore[[#This Row],[Land-DB]]^1.299,850)*(1+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374</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44681.666666666613</v>
      </c>
      <c r="AB26" s="113">
        <f ca="1">TblMili[[#This Row],[Draftees]]</f>
        <v>447</v>
      </c>
      <c r="AC26" s="113">
        <f ca="1">TblProd[[#This Row],[Platinum]]</f>
        <v>219861</v>
      </c>
      <c r="AD26" s="281"/>
      <c r="AE26" s="49">
        <f ca="1">TblExplore[[#This Row],[Land]]-TblExplore[[#This Row],[Land Bonus]]*20</f>
        <v>250</v>
      </c>
      <c r="AF26" s="113">
        <f ca="1">ROUND(MAX(0.6*TblExplore[[#This Row],[Land-DB]]^1.299,850)*(1+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373</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44681.708333333278</v>
      </c>
      <c r="AB27" s="113">
        <f ca="1">TblMili[[#This Row],[Draftees]]</f>
        <v>464</v>
      </c>
      <c r="AC27" s="113">
        <f ca="1">TblProd[[#This Row],[Platinum]]</f>
        <v>225531</v>
      </c>
      <c r="AD27" s="281"/>
      <c r="AE27" s="49">
        <f ca="1">TblExplore[[#This Row],[Land]]-TblExplore[[#This Row],[Land Bonus]]*20</f>
        <v>250</v>
      </c>
      <c r="AF27" s="113">
        <f ca="1">ROUND(MAX(0.6*TblExplore[[#This Row],[Land-DB]]^1.299,850)*(1+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371</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44681.749999999942</v>
      </c>
      <c r="AB28" s="113">
        <f ca="1">TblMili[[#This Row],[Draftees]]</f>
        <v>481</v>
      </c>
      <c r="AC28" s="113">
        <f ca="1">TblProd[[#This Row],[Platinum]]</f>
        <v>231201</v>
      </c>
      <c r="AD28" s="281"/>
      <c r="AE28" s="49">
        <f ca="1">TblExplore[[#This Row],[Land]]-TblExplore[[#This Row],[Land Bonus]]*20</f>
        <v>250</v>
      </c>
      <c r="AF28" s="113">
        <f ca="1">ROUND(MAX(0.6*TblExplore[[#This Row],[Land-DB]]^1.299,850)*(1+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372</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44681.791666666606</v>
      </c>
      <c r="AB29" s="113">
        <f ca="1">TblMili[[#This Row],[Draftees]]</f>
        <v>498</v>
      </c>
      <c r="AC29" s="113">
        <f ca="1">TblProd[[#This Row],[Platinum]]</f>
        <v>236871</v>
      </c>
      <c r="AD29" s="281"/>
      <c r="AE29" s="49">
        <f ca="1">TblExplore[[#This Row],[Land]]-TblExplore[[#This Row],[Land Bonus]]*20</f>
        <v>250</v>
      </c>
      <c r="AF29" s="113">
        <f ca="1">ROUND(MAX(0.6*TblExplore[[#This Row],[Land-DB]]^1.299,850)*(1+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44681.83333333327</v>
      </c>
      <c r="AB30" s="113">
        <f ca="1">TblMili[[#This Row],[Draftees]]</f>
        <v>515</v>
      </c>
      <c r="AC30" s="113">
        <f ca="1">TblProd[[#This Row],[Platinum]]</f>
        <v>242541</v>
      </c>
      <c r="AD30" s="281"/>
      <c r="AE30" s="49">
        <f ca="1">TblExplore[[#This Row],[Land]]-TblExplore[[#This Row],[Land Bonus]]*20</f>
        <v>250</v>
      </c>
      <c r="AF30" s="113">
        <f ca="1">ROUND(MAX(0.6*TblExplore[[#This Row],[Land-DB]]^1.299,850)*(1+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44681.874999999935</v>
      </c>
      <c r="AB31" s="113">
        <f ca="1">TblMili[[#This Row],[Draftees]]</f>
        <v>531</v>
      </c>
      <c r="AC31" s="113">
        <f ca="1">TblProd[[#This Row],[Platinum]]</f>
        <v>248211</v>
      </c>
      <c r="AD31" s="281"/>
      <c r="AE31" s="49">
        <f ca="1">TblExplore[[#This Row],[Land]]-TblExplore[[#This Row],[Land Bonus]]*20</f>
        <v>250</v>
      </c>
      <c r="AF31" s="113">
        <f ca="1">ROUND(MAX(0.6*TblExplore[[#This Row],[Land-DB]]^1.299,850)*(1+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44681.916666666599</v>
      </c>
      <c r="AB32" s="113">
        <f ca="1">TblMili[[#This Row],[Draftees]]</f>
        <v>547</v>
      </c>
      <c r="AC32" s="113">
        <f ca="1">TblProd[[#This Row],[Platinum]]</f>
        <v>253881</v>
      </c>
      <c r="AD32" s="281"/>
      <c r="AE32" s="49">
        <f ca="1">TblExplore[[#This Row],[Land]]-TblExplore[[#This Row],[Land Bonus]]*20</f>
        <v>250</v>
      </c>
      <c r="AF32" s="113">
        <f ca="1">ROUND(MAX(0.6*TblExplore[[#This Row],[Land-DB]]^1.299,850)*(1+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44681.958333333263</v>
      </c>
      <c r="AB33" s="113">
        <f ca="1">TblMili[[#This Row],[Draftees]]</f>
        <v>563</v>
      </c>
      <c r="AC33" s="113">
        <f ca="1">TblProd[[#This Row],[Platinum]]</f>
        <v>259551</v>
      </c>
      <c r="AD33" s="281"/>
      <c r="AE33" s="49">
        <f ca="1">TblExplore[[#This Row],[Land]]-TblExplore[[#This Row],[Land Bonus]]*20</f>
        <v>250</v>
      </c>
      <c r="AF33" s="113">
        <f ca="1">ROUND(MAX(0.6*TblExplore[[#This Row],[Land-DB]]^1.299,850)*(1+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44681.999999999927</v>
      </c>
      <c r="AB34" s="113">
        <f ca="1">TblMili[[#This Row],[Draftees]]</f>
        <v>579</v>
      </c>
      <c r="AC34" s="113">
        <f ca="1">TblProd[[#This Row],[Platinum]]</f>
        <v>265207</v>
      </c>
      <c r="AD34" s="281"/>
      <c r="AE34" s="49">
        <f ca="1">TblExplore[[#This Row],[Land]]-TblExplore[[#This Row],[Land Bonus]]*20</f>
        <v>250</v>
      </c>
      <c r="AF34" s="113">
        <f ca="1">ROUND(MAX(0.6*TblExplore[[#This Row],[Land-DB]]^1.299,850)*(1+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44682.041666666591</v>
      </c>
      <c r="AB35" s="113">
        <f ca="1">TblMili[[#This Row],[Draftees]]</f>
        <v>595</v>
      </c>
      <c r="AC35" s="113">
        <f ca="1">TblProd[[#This Row],[Platinum]]</f>
        <v>270820</v>
      </c>
      <c r="AD35" s="281"/>
      <c r="AE35" s="49">
        <f ca="1">TblExplore[[#This Row],[Land]]-TblExplore[[#This Row],[Land Bonus]]*20</f>
        <v>250</v>
      </c>
      <c r="AF35" s="113">
        <f ca="1">ROUND(MAX(0.6*TblExplore[[#This Row],[Land-DB]]^1.299,850)*(1+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44682.083333333256</v>
      </c>
      <c r="AB36" s="113">
        <f ca="1">TblMili[[#This Row],[Draftees]]</f>
        <v>611</v>
      </c>
      <c r="AC36" s="113">
        <f ca="1">TblProd[[#This Row],[Platinum]]</f>
        <v>276390</v>
      </c>
      <c r="AD36" s="281"/>
      <c r="AE36" s="49">
        <f ca="1">TblExplore[[#This Row],[Land]]-TblExplore[[#This Row],[Land Bonus]]*20</f>
        <v>250</v>
      </c>
      <c r="AF36" s="113">
        <f ca="1">ROUND(MAX(0.6*TblExplore[[#This Row],[Land-DB]]^1.299,850)*(1+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44682.12499999992</v>
      </c>
      <c r="AB37" s="113">
        <f ca="1">TblMili[[#This Row],[Draftees]]</f>
        <v>626</v>
      </c>
      <c r="AC37" s="113">
        <f ca="1">TblProd[[#This Row],[Platinum]]</f>
        <v>281916</v>
      </c>
      <c r="AD37" s="281"/>
      <c r="AE37" s="49">
        <f ca="1">TblExplore[[#This Row],[Land]]-TblExplore[[#This Row],[Land Bonus]]*20</f>
        <v>250</v>
      </c>
      <c r="AF37" s="113">
        <f ca="1">ROUND(MAX(0.6*TblExplore[[#This Row],[Land-DB]]^1.299,850)*(1+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44682.166666666584</v>
      </c>
      <c r="AB38" s="113">
        <f ca="1">TblMili[[#This Row],[Draftees]]</f>
        <v>626</v>
      </c>
      <c r="AC38" s="113">
        <f ca="1">TblProd[[#This Row],[Platinum]]</f>
        <v>287402</v>
      </c>
      <c r="AD38" s="281"/>
      <c r="AE38" s="49">
        <f ca="1">TblExplore[[#This Row],[Land]]-TblExplore[[#This Row],[Land Bonus]]*20</f>
        <v>250</v>
      </c>
      <c r="AF38" s="113">
        <f ca="1">ROUND(MAX(0.6*TblExplore[[#This Row],[Land-DB]]^1.299,850)*(1+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44682.208333333248</v>
      </c>
      <c r="AB39" s="113">
        <f ca="1">TblMili[[#This Row],[Draftees]]</f>
        <v>626</v>
      </c>
      <c r="AC39" s="113">
        <f ca="1">TblProd[[#This Row],[Platinum]]</f>
        <v>292888</v>
      </c>
      <c r="AD39" s="281"/>
      <c r="AE39" s="49">
        <f ca="1">TblExplore[[#This Row],[Land]]-TblExplore[[#This Row],[Land Bonus]]*20</f>
        <v>250</v>
      </c>
      <c r="AF39" s="113">
        <f ca="1">ROUND(MAX(0.6*TblExplore[[#This Row],[Land-DB]]^1.299,850)*(1+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44682.249999999913</v>
      </c>
      <c r="AB40" s="113">
        <f ca="1">TblMili[[#This Row],[Draftees]]</f>
        <v>626</v>
      </c>
      <c r="AC40" s="113">
        <f ca="1">TblProd[[#This Row],[Platinum]]</f>
        <v>298374</v>
      </c>
      <c r="AD40" s="281"/>
      <c r="AE40" s="49">
        <f ca="1">TblExplore[[#This Row],[Land]]-TblExplore[[#This Row],[Land Bonus]]*20</f>
        <v>250</v>
      </c>
      <c r="AF40" s="113">
        <f ca="1">ROUND(MAX(0.6*TblExplore[[#This Row],[Land-DB]]^1.299,850)*(1+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44682.291666666577</v>
      </c>
      <c r="AB41" s="113">
        <f ca="1">TblMili[[#This Row],[Draftees]]</f>
        <v>626</v>
      </c>
      <c r="AC41" s="113">
        <f ca="1">TblProd[[#This Row],[Platinum]]</f>
        <v>303860</v>
      </c>
      <c r="AD41" s="281"/>
      <c r="AE41" s="49">
        <f ca="1">TblExplore[[#This Row],[Land]]-TblExplore[[#This Row],[Land Bonus]]*20</f>
        <v>250</v>
      </c>
      <c r="AF41" s="113">
        <f ca="1">ROUND(MAX(0.6*TblExplore[[#This Row],[Land-DB]]^1.299,850)*(1+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44682.333333333241</v>
      </c>
      <c r="AB42" s="113">
        <f ca="1">TblMili[[#This Row],[Draftees]]</f>
        <v>626</v>
      </c>
      <c r="AC42" s="113">
        <f ca="1">TblProd[[#This Row],[Platinum]]</f>
        <v>309346</v>
      </c>
      <c r="AD42" s="281"/>
      <c r="AE42" s="49">
        <f ca="1">TblExplore[[#This Row],[Land]]-TblExplore[[#This Row],[Land Bonus]]*20</f>
        <v>250</v>
      </c>
      <c r="AF42" s="113">
        <f ca="1">ROUND(MAX(0.6*TblExplore[[#This Row],[Land-DB]]^1.299,850)*(1+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44682.374999999905</v>
      </c>
      <c r="AB43" s="113">
        <f ca="1">TblMili[[#This Row],[Draftees]]</f>
        <v>626</v>
      </c>
      <c r="AC43" s="113">
        <f ca="1">TblProd[[#This Row],[Platinum]]</f>
        <v>314832</v>
      </c>
      <c r="AD43" s="281"/>
      <c r="AE43" s="49">
        <f ca="1">TblExplore[[#This Row],[Land]]-TblExplore[[#This Row],[Land Bonus]]*20</f>
        <v>250</v>
      </c>
      <c r="AF43" s="113">
        <f ca="1">ROUND(MAX(0.6*TblExplore[[#This Row],[Land-DB]]^1.299,850)*(1+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44682.41666666657</v>
      </c>
      <c r="AB44" s="113">
        <f ca="1">TblMili[[#This Row],[Draftees]]</f>
        <v>626</v>
      </c>
      <c r="AC44" s="113">
        <f ca="1">TblProd[[#This Row],[Platinum]]</f>
        <v>320318</v>
      </c>
      <c r="AD44" s="281"/>
      <c r="AE44" s="49">
        <f ca="1">TblExplore[[#This Row],[Land]]-TblExplore[[#This Row],[Land Bonus]]*20</f>
        <v>250</v>
      </c>
      <c r="AF44" s="113">
        <f ca="1">ROUND(MAX(0.6*TblExplore[[#This Row],[Land-DB]]^1.299,850)*(1+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44682.458333333234</v>
      </c>
      <c r="AB45" s="113">
        <f ca="1">TblMili[[#This Row],[Draftees]]</f>
        <v>626</v>
      </c>
      <c r="AC45" s="113">
        <f ca="1">TblProd[[#This Row],[Platinum]]</f>
        <v>325804</v>
      </c>
      <c r="AD45" s="281"/>
      <c r="AE45" s="49">
        <f ca="1">TblExplore[[#This Row],[Land]]-TblExplore[[#This Row],[Land Bonus]]*20</f>
        <v>250</v>
      </c>
      <c r="AF45" s="113">
        <f ca="1">ROUND(MAX(0.6*TblExplore[[#This Row],[Land-DB]]^1.299,850)*(1+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44682.499999999898</v>
      </c>
      <c r="AB46" s="113">
        <f ca="1">TblMili[[#This Row],[Draftees]]</f>
        <v>626</v>
      </c>
      <c r="AC46" s="113">
        <f ca="1">TblProd[[#This Row],[Platinum]]</f>
        <v>331290</v>
      </c>
      <c r="AD46" s="281"/>
      <c r="AE46" s="49">
        <f ca="1">TblExplore[[#This Row],[Land]]-TblExplore[[#This Row],[Land Bonus]]*20</f>
        <v>250</v>
      </c>
      <c r="AF46" s="113">
        <f ca="1">ROUND(MAX(0.6*TblExplore[[#This Row],[Land-DB]]^1.299,850)*(1+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44682.541666666562</v>
      </c>
      <c r="AB47" s="113">
        <f ca="1">TblMili[[#This Row],[Draftees]]</f>
        <v>626</v>
      </c>
      <c r="AC47" s="113">
        <f ca="1">TblProd[[#This Row],[Platinum]]</f>
        <v>336776</v>
      </c>
      <c r="AD47" s="281"/>
      <c r="AE47" s="49">
        <f ca="1">TblExplore[[#This Row],[Land]]-TblExplore[[#This Row],[Land Bonus]]*20</f>
        <v>250</v>
      </c>
      <c r="AF47" s="113">
        <f ca="1">ROUND(MAX(0.6*TblExplore[[#This Row],[Land-DB]]^1.299,850)*(1+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44682.583333333227</v>
      </c>
      <c r="AB48" s="113">
        <f ca="1">TblMili[[#This Row],[Draftees]]</f>
        <v>626</v>
      </c>
      <c r="AC48" s="113">
        <f ca="1">TblProd[[#This Row],[Platinum]]</f>
        <v>342262</v>
      </c>
      <c r="AD48" s="281"/>
      <c r="AE48" s="49">
        <f ca="1">TblExplore[[#This Row],[Land]]-TblExplore[[#This Row],[Land Bonus]]*20</f>
        <v>250</v>
      </c>
      <c r="AF48" s="113">
        <f ca="1">ROUND(MAX(0.6*TblExplore[[#This Row],[Land-DB]]^1.299,850)*(1+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44682.624999999891</v>
      </c>
      <c r="AB49" s="113">
        <f ca="1">TblMili[[#This Row],[Draftees]]</f>
        <v>626</v>
      </c>
      <c r="AC49" s="113">
        <f ca="1">TblProd[[#This Row],[Platinum]]</f>
        <v>347748</v>
      </c>
      <c r="AD49" s="281"/>
      <c r="AE49" s="49">
        <f ca="1">TblExplore[[#This Row],[Land]]-TblExplore[[#This Row],[Land Bonus]]*20</f>
        <v>250</v>
      </c>
      <c r="AF49" s="113">
        <f ca="1">ROUND(MAX(0.6*TblExplore[[#This Row],[Land-DB]]^1.299,850)*(1+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44682.666666666555</v>
      </c>
      <c r="AB50" s="113">
        <f ca="1">TblMili[[#This Row],[Draftees]]</f>
        <v>626</v>
      </c>
      <c r="AC50" s="113">
        <f ca="1">TblProd[[#This Row],[Platinum]]</f>
        <v>353234</v>
      </c>
      <c r="AD50" s="281"/>
      <c r="AE50" s="49">
        <f ca="1">TblExplore[[#This Row],[Land]]-TblExplore[[#This Row],[Land Bonus]]*20</f>
        <v>250</v>
      </c>
      <c r="AF50" s="113">
        <f ca="1">ROUND(MAX(0.6*TblExplore[[#This Row],[Land-DB]]^1.299,850)*(1+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44682.708333333219</v>
      </c>
      <c r="AB51" s="113">
        <f ca="1">TblMili[[#This Row],[Draftees]]</f>
        <v>626</v>
      </c>
      <c r="AC51" s="113">
        <f ca="1">TblProd[[#This Row],[Platinum]]</f>
        <v>358720</v>
      </c>
      <c r="AD51" s="281"/>
      <c r="AE51" s="49">
        <f ca="1">TblExplore[[#This Row],[Land]]-TblExplore[[#This Row],[Land Bonus]]*20</f>
        <v>250</v>
      </c>
      <c r="AF51" s="113">
        <f ca="1">ROUND(MAX(0.6*TblExplore[[#This Row],[Land-DB]]^1.299,850)*(1+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44682.749999999884</v>
      </c>
      <c r="AB52" s="113">
        <f ca="1">TblMili[[#This Row],[Draftees]]</f>
        <v>626</v>
      </c>
      <c r="AC52" s="113">
        <f ca="1">TblProd[[#This Row],[Platinum]]</f>
        <v>364206</v>
      </c>
      <c r="AD52" s="281"/>
      <c r="AE52" s="49">
        <f ca="1">TblExplore[[#This Row],[Land]]-TblExplore[[#This Row],[Land Bonus]]*20</f>
        <v>250</v>
      </c>
      <c r="AF52" s="113">
        <f ca="1">ROUND(MAX(0.6*TblExplore[[#This Row],[Land-DB]]^1.299,850)*(1+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44682.791666666548</v>
      </c>
      <c r="AB53" s="113">
        <f ca="1">TblMili[[#This Row],[Draftees]]</f>
        <v>626</v>
      </c>
      <c r="AC53" s="113">
        <f ca="1">TblProd[[#This Row],[Platinum]]</f>
        <v>369692</v>
      </c>
      <c r="AD53" s="281"/>
      <c r="AE53" s="49">
        <f ca="1">TblExplore[[#This Row],[Land]]-TblExplore[[#This Row],[Land Bonus]]*20</f>
        <v>250</v>
      </c>
      <c r="AF53" s="113">
        <f ca="1">ROUND(MAX(0.6*TblExplore[[#This Row],[Land-DB]]^1.299,850)*(1+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1069</v>
      </c>
      <c r="M54" s="491" t="s">
        <v>308</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44682.833333333212</v>
      </c>
      <c r="AB54" s="113">
        <f ca="1">TblMili[[#This Row],[Draftees]]</f>
        <v>626</v>
      </c>
      <c r="AC54" s="113">
        <f ca="1">TblProd[[#This Row],[Platinum]]</f>
        <v>375178</v>
      </c>
      <c r="AD54" s="281"/>
      <c r="AE54" s="49">
        <f ca="1">TblExplore[[#This Row],[Land]]-TblExplore[[#This Row],[Land Bonus]]*20</f>
        <v>250</v>
      </c>
      <c r="AF54" s="113">
        <f ca="1">ROUND(MAX(0.6*TblExplore[[#This Row],[Land-DB]]^1.299,850)*(1+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44682.874999999876</v>
      </c>
      <c r="AB55" s="113">
        <f ca="1">TblMili[[#This Row],[Draftees]]</f>
        <v>626</v>
      </c>
      <c r="AC55" s="113">
        <f ca="1">TblProd[[#This Row],[Platinum]]</f>
        <v>380664</v>
      </c>
      <c r="AD55" s="281"/>
      <c r="AE55" s="49">
        <f ca="1">TblExplore[[#This Row],[Land]]-TblExplore[[#This Row],[Land Bonus]]*20</f>
        <v>250</v>
      </c>
      <c r="AF55" s="113">
        <f ca="1">ROUND(MAX(0.6*TblExplore[[#This Row],[Land-DB]]^1.299,850)*(1+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44682.916666666541</v>
      </c>
      <c r="AB56" s="113">
        <f ca="1">TblMili[[#This Row],[Draftees]]</f>
        <v>626</v>
      </c>
      <c r="AC56" s="113">
        <f ca="1">TblProd[[#This Row],[Platinum]]</f>
        <v>386150</v>
      </c>
      <c r="AD56" s="281"/>
      <c r="AE56" s="49">
        <f ca="1">TblExplore[[#This Row],[Land]]-TblExplore[[#This Row],[Land Bonus]]*20</f>
        <v>250</v>
      </c>
      <c r="AF56" s="113">
        <f ca="1">ROUND(MAX(0.6*TblExplore[[#This Row],[Land-DB]]^1.299,850)*(1+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44682.958333333205</v>
      </c>
      <c r="AB57" s="113">
        <f ca="1">TblMili[[#This Row],[Draftees]]</f>
        <v>626</v>
      </c>
      <c r="AC57" s="113">
        <f ca="1">TblProd[[#This Row],[Platinum]]</f>
        <v>391636</v>
      </c>
      <c r="AD57" s="281"/>
      <c r="AE57" s="49">
        <f ca="1">TblExplore[[#This Row],[Land]]-TblExplore[[#This Row],[Land Bonus]]*20</f>
        <v>250</v>
      </c>
      <c r="AF57" s="113">
        <f ca="1">ROUND(MAX(0.6*TblExplore[[#This Row],[Land-DB]]^1.299,850)*(1+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44682.999999999869</v>
      </c>
      <c r="AB58" s="113">
        <f ca="1">TblMili[[#This Row],[Draftees]]</f>
        <v>626</v>
      </c>
      <c r="AC58" s="113">
        <f ca="1">TblProd[[#This Row],[Platinum]]</f>
        <v>397122</v>
      </c>
      <c r="AD58" s="281"/>
      <c r="AE58" s="49">
        <f ca="1">TblExplore[[#This Row],[Land]]-TblExplore[[#This Row],[Land Bonus]]*20</f>
        <v>250</v>
      </c>
      <c r="AF58" s="113">
        <f ca="1">ROUND(MAX(0.6*TblExplore[[#This Row],[Land-DB]]^1.299,850)*(1+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44683.041666666533</v>
      </c>
      <c r="AB59" s="113">
        <f ca="1">TblMili[[#This Row],[Draftees]]</f>
        <v>626</v>
      </c>
      <c r="AC59" s="113">
        <f ca="1">TblProd[[#This Row],[Platinum]]</f>
        <v>402608</v>
      </c>
      <c r="AD59" s="281"/>
      <c r="AE59" s="49">
        <f ca="1">TblExplore[[#This Row],[Land]]-TblExplore[[#This Row],[Land Bonus]]*20</f>
        <v>250</v>
      </c>
      <c r="AF59" s="113">
        <f ca="1">ROUND(MAX(0.6*TblExplore[[#This Row],[Land-DB]]^1.299,850)*(1+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44683.083333333198</v>
      </c>
      <c r="AB60" s="113">
        <f ca="1">TblMili[[#This Row],[Draftees]]</f>
        <v>626</v>
      </c>
      <c r="AC60" s="113">
        <f ca="1">TblProd[[#This Row],[Platinum]]</f>
        <v>408094</v>
      </c>
      <c r="AD60" s="281"/>
      <c r="AE60" s="49">
        <f ca="1">TblExplore[[#This Row],[Land]]-TblExplore[[#This Row],[Land Bonus]]*20</f>
        <v>250</v>
      </c>
      <c r="AF60" s="113">
        <f ca="1">ROUND(MAX(0.6*TblExplore[[#This Row],[Land-DB]]^1.299,850)*(1+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44683.124999999862</v>
      </c>
      <c r="AB61" s="113">
        <f ca="1">TblMili[[#This Row],[Draftees]]</f>
        <v>626</v>
      </c>
      <c r="AC61" s="113">
        <f ca="1">TblProd[[#This Row],[Platinum]]</f>
        <v>413580</v>
      </c>
      <c r="AD61" s="281"/>
      <c r="AE61" s="49">
        <f ca="1">TblExplore[[#This Row],[Land]]-TblExplore[[#This Row],[Land Bonus]]*20</f>
        <v>250</v>
      </c>
      <c r="AF61" s="113">
        <f ca="1">ROUND(MAX(0.6*TblExplore[[#This Row],[Land-DB]]^1.299,850)*(1+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44683.166666666526</v>
      </c>
      <c r="AB62" s="113">
        <f ca="1">TblMili[[#This Row],[Draftees]]</f>
        <v>626</v>
      </c>
      <c r="AC62" s="113">
        <f ca="1">TblProd[[#This Row],[Platinum]]</f>
        <v>419066</v>
      </c>
      <c r="AD62" s="281"/>
      <c r="AE62" s="49">
        <f ca="1">TblExplore[[#This Row],[Land]]-TblExplore[[#This Row],[Land Bonus]]*20</f>
        <v>250</v>
      </c>
      <c r="AF62" s="113">
        <f ca="1">ROUND(MAX(0.6*TblExplore[[#This Row],[Land-DB]]^1.299,850)*(1+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44683.20833333319</v>
      </c>
      <c r="AB63" s="113">
        <f ca="1">TblMili[[#This Row],[Draftees]]</f>
        <v>626</v>
      </c>
      <c r="AC63" s="113">
        <f ca="1">TblProd[[#This Row],[Platinum]]</f>
        <v>424552</v>
      </c>
      <c r="AD63" s="281"/>
      <c r="AE63" s="49">
        <f ca="1">TblExplore[[#This Row],[Land]]-TblExplore[[#This Row],[Land Bonus]]*20</f>
        <v>250</v>
      </c>
      <c r="AF63" s="113">
        <f ca="1">ROUND(MAX(0.6*TblExplore[[#This Row],[Land-DB]]^1.299,850)*(1+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44683.249999999854</v>
      </c>
      <c r="AB64" s="113">
        <f ca="1">TblMili[[#This Row],[Draftees]]</f>
        <v>626</v>
      </c>
      <c r="AC64" s="113">
        <f ca="1">TblProd[[#This Row],[Platinum]]</f>
        <v>430038</v>
      </c>
      <c r="AD64" s="281"/>
      <c r="AE64" s="49">
        <f ca="1">TblExplore[[#This Row],[Land]]-TblExplore[[#This Row],[Land Bonus]]*20</f>
        <v>250</v>
      </c>
      <c r="AF64" s="113">
        <f ca="1">ROUND(MAX(0.6*TblExplore[[#This Row],[Land-DB]]^1.299,850)*(1+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44683.291666666519</v>
      </c>
      <c r="AB65" s="113">
        <f ca="1">TblMili[[#This Row],[Draftees]]</f>
        <v>626</v>
      </c>
      <c r="AC65" s="113">
        <f ca="1">TblProd[[#This Row],[Platinum]]</f>
        <v>435524</v>
      </c>
      <c r="AD65" s="281"/>
      <c r="AE65" s="49">
        <f ca="1">TblExplore[[#This Row],[Land]]-TblExplore[[#This Row],[Land Bonus]]*20</f>
        <v>250</v>
      </c>
      <c r="AF65" s="113">
        <f ca="1">ROUND(MAX(0.6*TblExplore[[#This Row],[Land-DB]]^1.299,850)*(1+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44683.333333333183</v>
      </c>
      <c r="AB66" s="113">
        <f ca="1">TblMili[[#This Row],[Draftees]]</f>
        <v>626</v>
      </c>
      <c r="AC66" s="113">
        <f ca="1">TblProd[[#This Row],[Platinum]]</f>
        <v>441010</v>
      </c>
      <c r="AD66" s="281"/>
      <c r="AE66" s="49">
        <f ca="1">TblExplore[[#This Row],[Land]]-TblExplore[[#This Row],[Land Bonus]]*20</f>
        <v>250</v>
      </c>
      <c r="AF66" s="113">
        <f ca="1">ROUND(MAX(0.6*TblExplore[[#This Row],[Land-DB]]^1.299,850)*(1+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44683.374999999847</v>
      </c>
      <c r="AB67" s="113">
        <f ca="1">TblMili[[#This Row],[Draftees]]</f>
        <v>626</v>
      </c>
      <c r="AC67" s="113">
        <f ca="1">TblProd[[#This Row],[Platinum]]</f>
        <v>446496</v>
      </c>
      <c r="AD67" s="281"/>
      <c r="AE67" s="49">
        <f ca="1">TblExplore[[#This Row],[Land]]-TblExplore[[#This Row],[Land Bonus]]*20</f>
        <v>250</v>
      </c>
      <c r="AF67" s="113">
        <f ca="1">ROUND(MAX(0.6*TblExplore[[#This Row],[Land-DB]]^1.299,850)*(1+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44683.416666666511</v>
      </c>
      <c r="AB68" s="113">
        <f ca="1">TblMili[[#This Row],[Draftees]]</f>
        <v>626</v>
      </c>
      <c r="AC68" s="113">
        <f ca="1">TblProd[[#This Row],[Platinum]]</f>
        <v>451982</v>
      </c>
      <c r="AD68" s="281"/>
      <c r="AE68" s="49">
        <f ca="1">TblExplore[[#This Row],[Land]]-TblExplore[[#This Row],[Land Bonus]]*20</f>
        <v>250</v>
      </c>
      <c r="AF68" s="113">
        <f ca="1">ROUND(MAX(0.6*TblExplore[[#This Row],[Land-DB]]^1.299,850)*(1+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44683.458333333176</v>
      </c>
      <c r="AB69" s="113">
        <f ca="1">TblMili[[#This Row],[Draftees]]</f>
        <v>626</v>
      </c>
      <c r="AC69" s="113">
        <f ca="1">TblProd[[#This Row],[Platinum]]</f>
        <v>457468</v>
      </c>
      <c r="AD69" s="281"/>
      <c r="AE69" s="49">
        <f ca="1">TblExplore[[#This Row],[Land]]-TblExplore[[#This Row],[Land Bonus]]*20</f>
        <v>250</v>
      </c>
      <c r="AF69" s="113">
        <f ca="1">ROUND(MAX(0.6*TblExplore[[#This Row],[Land-DB]]^1.299,850)*(1+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44683.49999999984</v>
      </c>
      <c r="AB70" s="113">
        <f ca="1">TblMili[[#This Row],[Draftees]]</f>
        <v>626</v>
      </c>
      <c r="AC70" s="113">
        <f ca="1">TblProd[[#This Row],[Platinum]]</f>
        <v>462954</v>
      </c>
      <c r="AD70" s="281"/>
      <c r="AE70" s="49">
        <f ca="1">TblExplore[[#This Row],[Land]]-TblExplore[[#This Row],[Land Bonus]]*20</f>
        <v>250</v>
      </c>
      <c r="AF70" s="113">
        <f ca="1">ROUND(MAX(0.6*TblExplore[[#This Row],[Land-DB]]^1.299,850)*(1+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44683.541666666504</v>
      </c>
      <c r="AB71" s="113">
        <f ca="1">TblMili[[#This Row],[Draftees]]</f>
        <v>626</v>
      </c>
      <c r="AC71" s="113">
        <f ca="1">TblProd[[#This Row],[Platinum]]</f>
        <v>468440</v>
      </c>
      <c r="AD71" s="281"/>
      <c r="AE71" s="49">
        <f ca="1">TblExplore[[#This Row],[Land]]-TblExplore[[#This Row],[Land Bonus]]*20</f>
        <v>250</v>
      </c>
      <c r="AF71" s="113">
        <f ca="1">ROUND(MAX(0.6*TblExplore[[#This Row],[Land-DB]]^1.299,850)*(1+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44683.583333333168</v>
      </c>
      <c r="AB72" s="113">
        <f ca="1">TblMili[[#This Row],[Draftees]]</f>
        <v>626</v>
      </c>
      <c r="AC72" s="113">
        <f ca="1">TblProd[[#This Row],[Platinum]]</f>
        <v>473926</v>
      </c>
      <c r="AD72" s="281"/>
      <c r="AE72" s="49">
        <f ca="1">TblExplore[[#This Row],[Land]]-TblExplore[[#This Row],[Land Bonus]]*20</f>
        <v>250</v>
      </c>
      <c r="AF72" s="113">
        <f ca="1">ROUND(MAX(0.6*TblExplore[[#This Row],[Land-DB]]^1.299,850)*(1+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44683.624999999833</v>
      </c>
      <c r="AB73" s="113">
        <f ca="1">TblMili[[#This Row],[Draftees]]</f>
        <v>626</v>
      </c>
      <c r="AC73" s="113">
        <f ca="1">TblProd[[#This Row],[Platinum]]</f>
        <v>479412</v>
      </c>
      <c r="AD73" s="281"/>
      <c r="AE73" s="49">
        <f ca="1">TblExplore[[#This Row],[Land]]-TblExplore[[#This Row],[Land Bonus]]*20</f>
        <v>250</v>
      </c>
      <c r="AF73" s="113">
        <f ca="1">ROUND(MAX(0.6*TblExplore[[#This Row],[Land-DB]]^1.299,850)*(1+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44683.666666666497</v>
      </c>
      <c r="AB74" s="113">
        <f ca="1">TblMili[[#This Row],[Draftees]]</f>
        <v>626</v>
      </c>
      <c r="AC74" s="113">
        <f ca="1">TblProd[[#This Row],[Platinum]]</f>
        <v>484898</v>
      </c>
      <c r="AD74" s="281"/>
      <c r="AE74" s="49">
        <f ca="1">TblExplore[[#This Row],[Land]]-TblExplore[[#This Row],[Land Bonus]]*20</f>
        <v>250</v>
      </c>
      <c r="AF74" s="113">
        <f ca="1">ROUND(MAX(0.6*TblExplore[[#This Row],[Land-DB]]^1.299,850)*(1+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44683.708333333161</v>
      </c>
      <c r="AB75" s="113">
        <f ca="1">TblMili[[#This Row],[Draftees]]</f>
        <v>626</v>
      </c>
      <c r="AC75" s="113">
        <f ca="1">TblProd[[#This Row],[Platinum]]</f>
        <v>490384</v>
      </c>
      <c r="AD75" s="281"/>
      <c r="AE75" s="49">
        <f ca="1">TblExplore[[#This Row],[Land]]-TblExplore[[#This Row],[Land Bonus]]*20</f>
        <v>250</v>
      </c>
      <c r="AF75" s="113">
        <f ca="1">ROUND(MAX(0.6*TblExplore[[#This Row],[Land-DB]]^1.299,850)*(1+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44683.749999999825</v>
      </c>
      <c r="AB76" s="262">
        <f ca="1">TblMili[[#This Row],[Draftees]]</f>
        <v>626</v>
      </c>
      <c r="AC76" s="262">
        <f ca="1">TblProd[[#This Row],[Platinum]]</f>
        <v>495870</v>
      </c>
      <c r="AD76" s="298"/>
      <c r="AE76" s="263">
        <f ca="1">TblExplore[[#This Row],[Land]]-TblExplore[[#This Row],[Land Bonus]]*20</f>
        <v>250</v>
      </c>
      <c r="AF76" s="262">
        <f ca="1">ROUND(MAX(0.6*TblExplore[[#This Row],[Land-DB]]^1.299,850)*(1+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44683.79166666649</v>
      </c>
      <c r="AB77" s="113">
        <f ca="1">TblMili[[#This Row],[Draftees]]</f>
        <v>626</v>
      </c>
      <c r="AC77" s="113">
        <f ca="1">TblProd[[#This Row],[Platinum]]</f>
        <v>501356</v>
      </c>
      <c r="AD77" s="281"/>
      <c r="AE77" s="49">
        <f ca="1">TblExplore[[#This Row],[Land]]-TblExplore[[#This Row],[Land Bonus]]*20</f>
        <v>250</v>
      </c>
      <c r="AF77" s="113">
        <f ca="1">ROUND(MAX(0.6*TblExplore[[#This Row],[Land-DB]]^1.299,850)*(1+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44683.833333333154</v>
      </c>
      <c r="AB78" s="113">
        <f ca="1">TblMili[[#This Row],[Draftees]]</f>
        <v>626</v>
      </c>
      <c r="AC78" s="113">
        <f ca="1">TblProd[[#This Row],[Platinum]]</f>
        <v>506842</v>
      </c>
      <c r="AD78" s="281"/>
      <c r="AE78" s="49">
        <f ca="1">TblExplore[[#This Row],[Land]]-TblExplore[[#This Row],[Land Bonus]]*20</f>
        <v>250</v>
      </c>
      <c r="AF78" s="113">
        <f ca="1">ROUND(MAX(0.6*TblExplore[[#This Row],[Land-DB]]^1.299,850)*(1+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44683.874999999818</v>
      </c>
      <c r="AB79" s="113">
        <f ca="1">TblMili[[#This Row],[Draftees]]</f>
        <v>626</v>
      </c>
      <c r="AC79" s="113">
        <f ca="1">TblProd[[#This Row],[Platinum]]</f>
        <v>512328</v>
      </c>
      <c r="AD79" s="281"/>
      <c r="AE79" s="49">
        <f ca="1">TblExplore[[#This Row],[Land]]-TblExplore[[#This Row],[Land Bonus]]*20</f>
        <v>250</v>
      </c>
      <c r="AF79" s="113">
        <f ca="1">ROUND(MAX(0.6*TblExplore[[#This Row],[Land-DB]]^1.299,850)*(1+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44683.916666666482</v>
      </c>
      <c r="AB80" s="113">
        <f ca="1">TblMili[[#This Row],[Draftees]]</f>
        <v>626</v>
      </c>
      <c r="AC80" s="113">
        <f ca="1">TblProd[[#This Row],[Platinum]]</f>
        <v>517814</v>
      </c>
      <c r="AD80" s="281"/>
      <c r="AE80" s="49">
        <f ca="1">TblExplore[[#This Row],[Land]]-TblExplore[[#This Row],[Land Bonus]]*20</f>
        <v>250</v>
      </c>
      <c r="AF80" s="113">
        <f ca="1">ROUND(MAX(0.6*TblExplore[[#This Row],[Land-DB]]^1.299,850)*(1+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44683.958333333147</v>
      </c>
      <c r="AB81" s="113">
        <f ca="1">TblMili[[#This Row],[Draftees]]</f>
        <v>626</v>
      </c>
      <c r="AC81" s="113">
        <f ca="1">TblProd[[#This Row],[Platinum]]</f>
        <v>523300</v>
      </c>
      <c r="AD81" s="281"/>
      <c r="AE81" s="49">
        <f ca="1">TblExplore[[#This Row],[Land]]-TblExplore[[#This Row],[Land Bonus]]*20</f>
        <v>250</v>
      </c>
      <c r="AF81" s="113">
        <f ca="1">ROUND(MAX(0.6*TblExplore[[#This Row],[Land-DB]]^1.299,850)*(1+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44683.999999999811</v>
      </c>
      <c r="AB82" s="113">
        <f ca="1">TblMili[[#This Row],[Draftees]]</f>
        <v>626</v>
      </c>
      <c r="AC82" s="113">
        <f ca="1">TblProd[[#This Row],[Platinum]]</f>
        <v>528786</v>
      </c>
      <c r="AD82" s="281"/>
      <c r="AE82" s="49">
        <f ca="1">TblExplore[[#This Row],[Land]]-TblExplore[[#This Row],[Land Bonus]]*20</f>
        <v>250</v>
      </c>
      <c r="AF82" s="113">
        <f ca="1">ROUND(MAX(0.6*TblExplore[[#This Row],[Land-DB]]^1.299,850)*(1+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44684.041666666475</v>
      </c>
      <c r="AB83" s="113">
        <f ca="1">TblMili[[#This Row],[Draftees]]</f>
        <v>626</v>
      </c>
      <c r="AC83" s="113">
        <f ca="1">TblProd[[#This Row],[Platinum]]</f>
        <v>534272</v>
      </c>
      <c r="AD83" s="281"/>
      <c r="AE83" s="49">
        <f ca="1">TblExplore[[#This Row],[Land]]-TblExplore[[#This Row],[Land Bonus]]*20</f>
        <v>250</v>
      </c>
      <c r="AF83" s="113">
        <f ca="1">ROUND(MAX(0.6*TblExplore[[#This Row],[Land-DB]]^1.299,850)*(1+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44684.083333333139</v>
      </c>
      <c r="AB84" s="113">
        <f ca="1">TblMili[[#This Row],[Draftees]]</f>
        <v>626</v>
      </c>
      <c r="AC84" s="113">
        <f ca="1">TblProd[[#This Row],[Platinum]]</f>
        <v>539758</v>
      </c>
      <c r="AD84" s="281"/>
      <c r="AE84" s="49">
        <f ca="1">TblExplore[[#This Row],[Land]]-TblExplore[[#This Row],[Land Bonus]]*20</f>
        <v>250</v>
      </c>
      <c r="AF84" s="113">
        <f ca="1">ROUND(MAX(0.6*TblExplore[[#This Row],[Land-DB]]^1.299,850)*(1+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44684.124999999804</v>
      </c>
      <c r="AB85" s="113">
        <f ca="1">TblMili[[#This Row],[Draftees]]</f>
        <v>626</v>
      </c>
      <c r="AC85" s="113">
        <f ca="1">TblProd[[#This Row],[Platinum]]</f>
        <v>545244</v>
      </c>
      <c r="AD85" s="281"/>
      <c r="AE85" s="49">
        <f ca="1">TblExplore[[#This Row],[Land]]-TblExplore[[#This Row],[Land Bonus]]*20</f>
        <v>250</v>
      </c>
      <c r="AF85" s="113">
        <f ca="1">ROUND(MAX(0.6*TblExplore[[#This Row],[Land-DB]]^1.299,850)*(1+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44684.166666666468</v>
      </c>
      <c r="AB86" s="113">
        <f ca="1">TblMili[[#This Row],[Draftees]]</f>
        <v>626</v>
      </c>
      <c r="AC86" s="113">
        <f ca="1">TblProd[[#This Row],[Platinum]]</f>
        <v>550730</v>
      </c>
      <c r="AD86" s="281"/>
      <c r="AE86" s="49">
        <f ca="1">TblExplore[[#This Row],[Land]]-TblExplore[[#This Row],[Land Bonus]]*20</f>
        <v>250</v>
      </c>
      <c r="AF86" s="113">
        <f ca="1">ROUND(MAX(0.6*TblExplore[[#This Row],[Land-DB]]^1.299,850)*(1+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44684.208333333132</v>
      </c>
      <c r="AB87" s="113">
        <f ca="1">TblMili[[#This Row],[Draftees]]</f>
        <v>626</v>
      </c>
      <c r="AC87" s="113">
        <f ca="1">TblProd[[#This Row],[Platinum]]</f>
        <v>556216</v>
      </c>
      <c r="AD87" s="281"/>
      <c r="AE87" s="49">
        <f ca="1">TblExplore[[#This Row],[Land]]-TblExplore[[#This Row],[Land Bonus]]*20</f>
        <v>250</v>
      </c>
      <c r="AF87" s="113">
        <f ca="1">ROUND(MAX(0.6*TblExplore[[#This Row],[Land-DB]]^1.299,850)*(1+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44684.249999999796</v>
      </c>
      <c r="AB88" s="113">
        <f ca="1">TblMili[[#This Row],[Draftees]]</f>
        <v>626</v>
      </c>
      <c r="AC88" s="113">
        <f ca="1">TblProd[[#This Row],[Platinum]]</f>
        <v>561702</v>
      </c>
      <c r="AD88" s="281"/>
      <c r="AE88" s="49">
        <f ca="1">TblExplore[[#This Row],[Land]]-TblExplore[[#This Row],[Land Bonus]]*20</f>
        <v>250</v>
      </c>
      <c r="AF88" s="113">
        <f ca="1">ROUND(MAX(0.6*TblExplore[[#This Row],[Land-DB]]^1.299,850)*(1+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44684.291666666461</v>
      </c>
      <c r="AB89" s="113">
        <f ca="1">TblMili[[#This Row],[Draftees]]</f>
        <v>626</v>
      </c>
      <c r="AC89" s="113">
        <f ca="1">TblProd[[#This Row],[Platinum]]</f>
        <v>567188</v>
      </c>
      <c r="AD89" s="281"/>
      <c r="AE89" s="49">
        <f ca="1">TblExplore[[#This Row],[Land]]-TblExplore[[#This Row],[Land Bonus]]*20</f>
        <v>250</v>
      </c>
      <c r="AF89" s="113">
        <f ca="1">ROUND(MAX(0.6*TblExplore[[#This Row],[Land-DB]]^1.299,850)*(1+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44684.333333333125</v>
      </c>
      <c r="AB90" s="113">
        <f ca="1">TblMili[[#This Row],[Draftees]]</f>
        <v>626</v>
      </c>
      <c r="AC90" s="113">
        <f ca="1">TblProd[[#This Row],[Platinum]]</f>
        <v>572674</v>
      </c>
      <c r="AD90" s="281"/>
      <c r="AE90" s="49">
        <f ca="1">TblExplore[[#This Row],[Land]]-TblExplore[[#This Row],[Land Bonus]]*20</f>
        <v>250</v>
      </c>
      <c r="AF90" s="113">
        <f ca="1">ROUND(MAX(0.6*TblExplore[[#This Row],[Land-DB]]^1.299,850)*(1+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44684.374999999789</v>
      </c>
      <c r="AB91" s="113">
        <f ca="1">TblMili[[#This Row],[Draftees]]</f>
        <v>626</v>
      </c>
      <c r="AC91" s="113">
        <f ca="1">TblProd[[#This Row],[Platinum]]</f>
        <v>578160</v>
      </c>
      <c r="AD91" s="281"/>
      <c r="AE91" s="49">
        <f ca="1">TblExplore[[#This Row],[Land]]-TblExplore[[#This Row],[Land Bonus]]*20</f>
        <v>250</v>
      </c>
      <c r="AF91" s="113">
        <f ca="1">ROUND(MAX(0.6*TblExplore[[#This Row],[Land-DB]]^1.299,850)*(1+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44684.416666666453</v>
      </c>
      <c r="AB92" s="113">
        <f ca="1">TblMili[[#This Row],[Draftees]]</f>
        <v>626</v>
      </c>
      <c r="AC92" s="113">
        <f ca="1">TblProd[[#This Row],[Platinum]]</f>
        <v>583646</v>
      </c>
      <c r="AD92" s="281"/>
      <c r="AE92" s="49">
        <f ca="1">TblExplore[[#This Row],[Land]]-TblExplore[[#This Row],[Land Bonus]]*20</f>
        <v>250</v>
      </c>
      <c r="AF92" s="113">
        <f ca="1">ROUND(MAX(0.6*TblExplore[[#This Row],[Land-DB]]^1.299,850)*(1+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44684.458333333117</v>
      </c>
      <c r="AB93" s="113">
        <f ca="1">TblMili[[#This Row],[Draftees]]</f>
        <v>626</v>
      </c>
      <c r="AC93" s="113">
        <f ca="1">TblProd[[#This Row],[Platinum]]</f>
        <v>589132</v>
      </c>
      <c r="AD93" s="281"/>
      <c r="AE93" s="49">
        <f ca="1">TblExplore[[#This Row],[Land]]-TblExplore[[#This Row],[Land Bonus]]*20</f>
        <v>250</v>
      </c>
      <c r="AF93" s="113">
        <f ca="1">ROUND(MAX(0.6*TblExplore[[#This Row],[Land-DB]]^1.299,850)*(1+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44684.499999999782</v>
      </c>
      <c r="AB94" s="113">
        <f ca="1">TblMili[[#This Row],[Draftees]]</f>
        <v>626</v>
      </c>
      <c r="AC94" s="113">
        <f ca="1">TblProd[[#This Row],[Platinum]]</f>
        <v>594618</v>
      </c>
      <c r="AD94" s="281"/>
      <c r="AE94" s="49">
        <f ca="1">TblExplore[[#This Row],[Land]]-TblExplore[[#This Row],[Land Bonus]]*20</f>
        <v>250</v>
      </c>
      <c r="AF94" s="113">
        <f ca="1">ROUND(MAX(0.6*TblExplore[[#This Row],[Land-DB]]^1.299,850)*(1+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44684.541666666446</v>
      </c>
      <c r="AB95" s="113">
        <f ca="1">TblMili[[#This Row],[Draftees]]</f>
        <v>626</v>
      </c>
      <c r="AC95" s="113">
        <f ca="1">TblProd[[#This Row],[Platinum]]</f>
        <v>600104</v>
      </c>
      <c r="AD95" s="281"/>
      <c r="AE95" s="49">
        <f ca="1">TblExplore[[#This Row],[Land]]-TblExplore[[#This Row],[Land Bonus]]*20</f>
        <v>250</v>
      </c>
      <c r="AF95" s="113">
        <f ca="1">ROUND(MAX(0.6*TblExplore[[#This Row],[Land-DB]]^1.299,850)*(1+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44684.58333333311</v>
      </c>
      <c r="AB96" s="113">
        <f ca="1">TblMili[[#This Row],[Draftees]]</f>
        <v>626</v>
      </c>
      <c r="AC96" s="113">
        <f ca="1">TblProd[[#This Row],[Platinum]]</f>
        <v>605590</v>
      </c>
      <c r="AD96" s="281"/>
      <c r="AE96" s="49">
        <f ca="1">TblExplore[[#This Row],[Land]]-TblExplore[[#This Row],[Land Bonus]]*20</f>
        <v>250</v>
      </c>
      <c r="AF96" s="113">
        <f ca="1">ROUND(MAX(0.6*TblExplore[[#This Row],[Land-DB]]^1.299,850)*(1+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44684.624999999774</v>
      </c>
      <c r="AB97" s="113">
        <f ca="1">TblMili[[#This Row],[Draftees]]</f>
        <v>626</v>
      </c>
      <c r="AC97" s="113">
        <f ca="1">TblProd[[#This Row],[Platinum]]</f>
        <v>611076</v>
      </c>
      <c r="AD97" s="281"/>
      <c r="AE97" s="49">
        <f ca="1">TblExplore[[#This Row],[Land]]-TblExplore[[#This Row],[Land Bonus]]*20</f>
        <v>250</v>
      </c>
      <c r="AF97" s="113">
        <f ca="1">ROUND(MAX(0.6*TblExplore[[#This Row],[Land-DB]]^1.299,850)*(1+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44684.666666666439</v>
      </c>
      <c r="AB98" s="113">
        <f ca="1">TblMili[[#This Row],[Draftees]]</f>
        <v>626</v>
      </c>
      <c r="AC98" s="113">
        <f ca="1">TblProd[[#This Row],[Platinum]]</f>
        <v>616562</v>
      </c>
      <c r="AD98" s="281"/>
      <c r="AE98" s="49">
        <f ca="1">TblExplore[[#This Row],[Land]]-TblExplore[[#This Row],[Land Bonus]]*20</f>
        <v>250</v>
      </c>
      <c r="AF98" s="113">
        <f ca="1">ROUND(MAX(0.6*TblExplore[[#This Row],[Land-DB]]^1.299,850)*(1+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44684.708333333103</v>
      </c>
      <c r="AB99" s="113">
        <f ca="1">TblMili[[#This Row],[Draftees]]</f>
        <v>626</v>
      </c>
      <c r="AC99" s="113">
        <f ca="1">TblProd[[#This Row],[Platinum]]</f>
        <v>622048</v>
      </c>
      <c r="AD99" s="281"/>
      <c r="AE99" s="49">
        <f ca="1">TblExplore[[#This Row],[Land]]-TblExplore[[#This Row],[Land Bonus]]*20</f>
        <v>250</v>
      </c>
      <c r="AF99" s="113">
        <f ca="1">ROUND(MAX(0.6*TblExplore[[#This Row],[Land-DB]]^1.299,850)*(1+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44684.749999999767</v>
      </c>
      <c r="AB100" s="113">
        <f ca="1">TblMili[[#This Row],[Draftees]]</f>
        <v>626</v>
      </c>
      <c r="AC100" s="113">
        <f ca="1">TblProd[[#This Row],[Platinum]]</f>
        <v>627534</v>
      </c>
      <c r="AD100" s="281"/>
      <c r="AE100" s="49">
        <f ca="1">TblExplore[[#This Row],[Land]]-TblExplore[[#This Row],[Land Bonus]]*20</f>
        <v>250</v>
      </c>
      <c r="AF100" s="113">
        <f ca="1">ROUND(MAX(0.6*TblExplore[[#This Row],[Land-DB]]^1.299,850)*(1+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44684.791666666431</v>
      </c>
      <c r="AB101" s="113">
        <f ca="1">TblMili[[#This Row],[Draftees]]</f>
        <v>626</v>
      </c>
      <c r="AC101" s="113">
        <f ca="1">TblProd[[#This Row],[Platinum]]</f>
        <v>633020</v>
      </c>
      <c r="AD101" s="281"/>
      <c r="AE101" s="49">
        <f ca="1">TblExplore[[#This Row],[Land]]-TblExplore[[#This Row],[Land Bonus]]*20</f>
        <v>250</v>
      </c>
      <c r="AF101" s="113">
        <f ca="1">ROUND(MAX(0.6*TblExplore[[#This Row],[Land-DB]]^1.299,850)*(1+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44684.833333333096</v>
      </c>
      <c r="AB102" s="113">
        <f ca="1">TblMili[[#This Row],[Draftees]]</f>
        <v>626</v>
      </c>
      <c r="AC102" s="113">
        <f ca="1">TblProd[[#This Row],[Platinum]]</f>
        <v>638506</v>
      </c>
      <c r="AD102" s="281"/>
      <c r="AE102" s="49">
        <f ca="1">TblExplore[[#This Row],[Land]]-TblExplore[[#This Row],[Land Bonus]]*20</f>
        <v>250</v>
      </c>
      <c r="AF102" s="113">
        <f ca="1">ROUND(MAX(0.6*TblExplore[[#This Row],[Land-DB]]^1.299,850)*(1+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44684.87499999976</v>
      </c>
      <c r="AB103" s="113">
        <f ca="1">TblMili[[#This Row],[Draftees]]</f>
        <v>626</v>
      </c>
      <c r="AC103" s="113">
        <f ca="1">TblProd[[#This Row],[Platinum]]</f>
        <v>643992</v>
      </c>
      <c r="AD103" s="281"/>
      <c r="AE103" s="49">
        <f ca="1">TblExplore[[#This Row],[Land]]-TblExplore[[#This Row],[Land Bonus]]*20</f>
        <v>250</v>
      </c>
      <c r="AF103" s="113">
        <f ca="1">ROUND(MAX(0.6*TblExplore[[#This Row],[Land-DB]]^1.299,850)*(1+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44684.916666666424</v>
      </c>
      <c r="AB104" s="113">
        <f ca="1">TblMili[[#This Row],[Draftees]]</f>
        <v>626</v>
      </c>
      <c r="AC104" s="113">
        <f ca="1">TblProd[[#This Row],[Platinum]]</f>
        <v>649478</v>
      </c>
      <c r="AD104" s="281"/>
      <c r="AE104" s="49">
        <f ca="1">TblExplore[[#This Row],[Land]]-TblExplore[[#This Row],[Land Bonus]]*20</f>
        <v>250</v>
      </c>
      <c r="AF104" s="113">
        <f ca="1">ROUND(MAX(0.6*TblExplore[[#This Row],[Land-DB]]^1.299,850)*(1+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44684.958333333088</v>
      </c>
      <c r="AB105" s="113">
        <f ca="1">TblMili[[#This Row],[Draftees]]</f>
        <v>626</v>
      </c>
      <c r="AC105" s="113">
        <f ca="1">TblProd[[#This Row],[Platinum]]</f>
        <v>654964</v>
      </c>
      <c r="AD105" s="281"/>
      <c r="AE105" s="49">
        <f ca="1">TblExplore[[#This Row],[Land]]-TblExplore[[#This Row],[Land Bonus]]*20</f>
        <v>250</v>
      </c>
      <c r="AF105" s="113">
        <f ca="1">ROUND(MAX(0.6*TblExplore[[#This Row],[Land-DB]]^1.299,850)*(1+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44684.999999999753</v>
      </c>
      <c r="AB106" s="113">
        <f ca="1">TblMili[[#This Row],[Draftees]]</f>
        <v>626</v>
      </c>
      <c r="AC106" s="113">
        <f ca="1">TblProd[[#This Row],[Platinum]]</f>
        <v>660450</v>
      </c>
      <c r="AD106" s="281"/>
      <c r="AE106" s="49">
        <f ca="1">TblExplore[[#This Row],[Land]]-TblExplore[[#This Row],[Land Bonus]]*20</f>
        <v>250</v>
      </c>
      <c r="AF106" s="113">
        <f ca="1">ROUND(MAX(0.6*TblExplore[[#This Row],[Land-DB]]^1.299,850)*(1+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44685.041666666417</v>
      </c>
      <c r="AB107" s="113">
        <f ca="1">TblMili[[#This Row],[Draftees]]</f>
        <v>626</v>
      </c>
      <c r="AC107" s="113">
        <f ca="1">TblProd[[#This Row],[Platinum]]</f>
        <v>665936</v>
      </c>
      <c r="AD107" s="281"/>
      <c r="AE107" s="49">
        <f ca="1">TblExplore[[#This Row],[Land]]-TblExplore[[#This Row],[Land Bonus]]*20</f>
        <v>250</v>
      </c>
      <c r="AF107" s="113">
        <f ca="1">ROUND(MAX(0.6*TblExplore[[#This Row],[Land-DB]]^1.299,850)*(1+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44685.083333333081</v>
      </c>
      <c r="AB108" s="113">
        <f ca="1">TblMili[[#This Row],[Draftees]]</f>
        <v>626</v>
      </c>
      <c r="AC108" s="113">
        <f ca="1">TblProd[[#This Row],[Platinum]]</f>
        <v>671422</v>
      </c>
      <c r="AD108" s="281"/>
      <c r="AE108" s="49">
        <f ca="1">TblExplore[[#This Row],[Land]]-TblExplore[[#This Row],[Land Bonus]]*20</f>
        <v>250</v>
      </c>
      <c r="AF108" s="113">
        <f ca="1">ROUND(MAX(0.6*TblExplore[[#This Row],[Land-DB]]^1.299,850)*(1+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44685.124999999745</v>
      </c>
      <c r="AB109" s="113">
        <f ca="1">TblMili[[#This Row],[Draftees]]</f>
        <v>626</v>
      </c>
      <c r="AC109" s="113">
        <f ca="1">TblProd[[#This Row],[Platinum]]</f>
        <v>676908</v>
      </c>
      <c r="AD109" s="281"/>
      <c r="AE109" s="49">
        <f ca="1">TblExplore[[#This Row],[Land]]-TblExplore[[#This Row],[Land Bonus]]*20</f>
        <v>250</v>
      </c>
      <c r="AF109" s="113">
        <f ca="1">ROUND(MAX(0.6*TblExplore[[#This Row],[Land-DB]]^1.299,850)*(1+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44685.16666666641</v>
      </c>
      <c r="AB110" s="113">
        <f ca="1">TblMili[[#This Row],[Draftees]]</f>
        <v>626</v>
      </c>
      <c r="AC110" s="113">
        <f ca="1">TblProd[[#This Row],[Platinum]]</f>
        <v>682394</v>
      </c>
      <c r="AD110" s="281"/>
      <c r="AE110" s="49">
        <f ca="1">TblExplore[[#This Row],[Land]]-TblExplore[[#This Row],[Land Bonus]]*20</f>
        <v>250</v>
      </c>
      <c r="AF110" s="113">
        <f ca="1">ROUND(MAX(0.6*TblExplore[[#This Row],[Land-DB]]^1.299,850)*(1+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44685.208333333074</v>
      </c>
      <c r="AB111" s="113">
        <f ca="1">TblMili[[#This Row],[Draftees]]</f>
        <v>626</v>
      </c>
      <c r="AC111" s="113">
        <f ca="1">TblProd[[#This Row],[Platinum]]</f>
        <v>687880</v>
      </c>
      <c r="AD111" s="281"/>
      <c r="AE111" s="49">
        <f ca="1">TblExplore[[#This Row],[Land]]-TblExplore[[#This Row],[Land Bonus]]*20</f>
        <v>250</v>
      </c>
      <c r="AF111" s="113">
        <f ca="1">ROUND(MAX(0.6*TblExplore[[#This Row],[Land-DB]]^1.299,850)*(1+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44685.249999999738</v>
      </c>
      <c r="AB112" s="113">
        <f ca="1">TblMili[[#This Row],[Draftees]]</f>
        <v>626</v>
      </c>
      <c r="AC112" s="113">
        <f ca="1">TblProd[[#This Row],[Platinum]]</f>
        <v>693366</v>
      </c>
      <c r="AD112" s="281"/>
      <c r="AE112" s="49">
        <f ca="1">TblExplore[[#This Row],[Land]]-TblExplore[[#This Row],[Land Bonus]]*20</f>
        <v>250</v>
      </c>
      <c r="AF112" s="113">
        <f ca="1">ROUND(MAX(0.6*TblExplore[[#This Row],[Land-DB]]^1.299,850)*(1+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44685.291666666402</v>
      </c>
      <c r="AB113" s="113">
        <f ca="1">TblMili[[#This Row],[Draftees]]</f>
        <v>626</v>
      </c>
      <c r="AC113" s="113">
        <f ca="1">TblProd[[#This Row],[Platinum]]</f>
        <v>698852</v>
      </c>
      <c r="AD113" s="281"/>
      <c r="AE113" s="49">
        <f ca="1">TblExplore[[#This Row],[Land]]-TblExplore[[#This Row],[Land Bonus]]*20</f>
        <v>250</v>
      </c>
      <c r="AF113" s="113">
        <f ca="1">ROUND(MAX(0.6*TblExplore[[#This Row],[Land-DB]]^1.299,850)*(1+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44685.333333333067</v>
      </c>
      <c r="AB114" s="113">
        <f ca="1">TblMili[[#This Row],[Draftees]]</f>
        <v>626</v>
      </c>
      <c r="AC114" s="113">
        <f ca="1">TblProd[[#This Row],[Platinum]]</f>
        <v>704338</v>
      </c>
      <c r="AD114" s="281"/>
      <c r="AE114" s="49">
        <f ca="1">TblExplore[[#This Row],[Land]]-TblExplore[[#This Row],[Land Bonus]]*20</f>
        <v>250</v>
      </c>
      <c r="AF114" s="113">
        <f ca="1">ROUND(MAX(0.6*TblExplore[[#This Row],[Land-DB]]^1.299,850)*(1+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44685.374999999731</v>
      </c>
      <c r="AB115" s="113">
        <f ca="1">TblMili[[#This Row],[Draftees]]</f>
        <v>626</v>
      </c>
      <c r="AC115" s="113">
        <f ca="1">TblProd[[#This Row],[Platinum]]</f>
        <v>709824</v>
      </c>
      <c r="AD115" s="281"/>
      <c r="AE115" s="49">
        <f ca="1">TblExplore[[#This Row],[Land]]-TblExplore[[#This Row],[Land Bonus]]*20</f>
        <v>250</v>
      </c>
      <c r="AF115" s="113">
        <f ca="1">ROUND(MAX(0.6*TblExplore[[#This Row],[Land-DB]]^1.299,850)*(1+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44685.416666666395</v>
      </c>
      <c r="AB116" s="113">
        <f ca="1">TblMili[[#This Row],[Draftees]]</f>
        <v>626</v>
      </c>
      <c r="AC116" s="113">
        <f ca="1">TblProd[[#This Row],[Platinum]]</f>
        <v>715310</v>
      </c>
      <c r="AD116" s="281"/>
      <c r="AE116" s="49">
        <f ca="1">TblExplore[[#This Row],[Land]]-TblExplore[[#This Row],[Land Bonus]]*20</f>
        <v>250</v>
      </c>
      <c r="AF116" s="113">
        <f ca="1">ROUND(MAX(0.6*TblExplore[[#This Row],[Land-DB]]^1.299,850)*(1+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44685.458333333059</v>
      </c>
      <c r="AB117" s="113">
        <f ca="1">TblMili[[#This Row],[Draftees]]</f>
        <v>626</v>
      </c>
      <c r="AC117" s="113">
        <f ca="1">TblProd[[#This Row],[Platinum]]</f>
        <v>720796</v>
      </c>
      <c r="AD117" s="281"/>
      <c r="AE117" s="49">
        <f ca="1">TblExplore[[#This Row],[Land]]-TblExplore[[#This Row],[Land Bonus]]*20</f>
        <v>250</v>
      </c>
      <c r="AF117" s="113">
        <f ca="1">ROUND(MAX(0.6*TblExplore[[#This Row],[Land-DB]]^1.299,850)*(1+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44685.499999999724</v>
      </c>
      <c r="AB118" s="113">
        <f ca="1">TblMili[[#This Row],[Draftees]]</f>
        <v>626</v>
      </c>
      <c r="AC118" s="113">
        <f ca="1">TblProd[[#This Row],[Platinum]]</f>
        <v>726282</v>
      </c>
      <c r="AD118" s="281"/>
      <c r="AE118" s="49">
        <f ca="1">TblExplore[[#This Row],[Land]]-TblExplore[[#This Row],[Land Bonus]]*20</f>
        <v>250</v>
      </c>
      <c r="AF118" s="113">
        <f ca="1">ROUND(MAX(0.6*TblExplore[[#This Row],[Land-DB]]^1.299,850)*(1+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44685.541666666388</v>
      </c>
      <c r="AB119" s="113">
        <f ca="1">TblMili[[#This Row],[Draftees]]</f>
        <v>626</v>
      </c>
      <c r="AC119" s="113">
        <f ca="1">TblProd[[#This Row],[Platinum]]</f>
        <v>731768</v>
      </c>
      <c r="AD119" s="281"/>
      <c r="AE119" s="49">
        <f ca="1">TblExplore[[#This Row],[Land]]-TblExplore[[#This Row],[Land Bonus]]*20</f>
        <v>250</v>
      </c>
      <c r="AF119" s="113">
        <f ca="1">ROUND(MAX(0.6*TblExplore[[#This Row],[Land-DB]]^1.299,850)*(1+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44685.583333333052</v>
      </c>
      <c r="AB120" s="113">
        <f ca="1">TblMili[[#This Row],[Draftees]]</f>
        <v>626</v>
      </c>
      <c r="AC120" s="113">
        <f ca="1">TblProd[[#This Row],[Platinum]]</f>
        <v>737254</v>
      </c>
      <c r="AD120" s="281"/>
      <c r="AE120" s="49">
        <f ca="1">TblExplore[[#This Row],[Land]]-TblExplore[[#This Row],[Land Bonus]]*20</f>
        <v>250</v>
      </c>
      <c r="AF120" s="113">
        <f ca="1">ROUND(MAX(0.6*TblExplore[[#This Row],[Land-DB]]^1.299,850)*(1+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44685.624999999716</v>
      </c>
      <c r="AB121" s="113">
        <f ca="1">TblMili[[#This Row],[Draftees]]</f>
        <v>626</v>
      </c>
      <c r="AC121" s="113">
        <f ca="1">TblProd[[#This Row],[Platinum]]</f>
        <v>742740</v>
      </c>
      <c r="AD121" s="281"/>
      <c r="AE121" s="49">
        <f ca="1">TblExplore[[#This Row],[Land]]-TblExplore[[#This Row],[Land Bonus]]*20</f>
        <v>250</v>
      </c>
      <c r="AF121" s="113">
        <f ca="1">ROUND(MAX(0.6*TblExplore[[#This Row],[Land-DB]]^1.299,850)*(1+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44685.66666666638</v>
      </c>
      <c r="AB122" s="113">
        <f ca="1">TblMili[[#This Row],[Draftees]]</f>
        <v>626</v>
      </c>
      <c r="AC122" s="113">
        <f ca="1">TblProd[[#This Row],[Platinum]]</f>
        <v>748226</v>
      </c>
      <c r="AD122" s="281"/>
      <c r="AE122" s="49">
        <f ca="1">TblExplore[[#This Row],[Land]]-TblExplore[[#This Row],[Land Bonus]]*20</f>
        <v>250</v>
      </c>
      <c r="AF122" s="113">
        <f ca="1">ROUND(MAX(0.6*TblExplore[[#This Row],[Land-DB]]^1.299,850)*(1+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44685.708333333045</v>
      </c>
      <c r="AB123" s="113">
        <f ca="1">TblMili[[#This Row],[Draftees]]</f>
        <v>626</v>
      </c>
      <c r="AC123" s="113">
        <f ca="1">TblProd[[#This Row],[Platinum]]</f>
        <v>753712</v>
      </c>
      <c r="AD123" s="281"/>
      <c r="AE123" s="49">
        <f ca="1">TblExplore[[#This Row],[Land]]-TblExplore[[#This Row],[Land Bonus]]*20</f>
        <v>250</v>
      </c>
      <c r="AF123" s="113">
        <f ca="1">ROUND(MAX(0.6*TblExplore[[#This Row],[Land-DB]]^1.299,850)*(1+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305</v>
      </c>
      <c r="M124" s="295" t="s">
        <v>308</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44685.749999999709</v>
      </c>
      <c r="AB124" s="113">
        <f ca="1">TblMili[[#This Row],[Draftees]]</f>
        <v>626</v>
      </c>
      <c r="AC124" s="113">
        <f ca="1">TblProd[[#This Row],[Platinum]]</f>
        <v>759198</v>
      </c>
      <c r="AD124" s="281"/>
      <c r="AE124" s="49">
        <f ca="1">TblExplore[[#This Row],[Land]]-TblExplore[[#This Row],[Land Bonus]]*20</f>
        <v>250</v>
      </c>
      <c r="AF124" s="113">
        <f ca="1">ROUND(MAX(0.6*TblExplore[[#This Row],[Land-DB]]^1.299,850)*(1+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44685.791666666373</v>
      </c>
      <c r="AB125" s="113">
        <f ca="1">TblMili[[#This Row],[Draftees]]</f>
        <v>626</v>
      </c>
      <c r="AC125" s="113">
        <f ca="1">TblProd[[#This Row],[Platinum]]</f>
        <v>764684</v>
      </c>
      <c r="AD125" s="281"/>
      <c r="AE125" s="49">
        <f ca="1">TblExplore[[#This Row],[Land]]-TblExplore[[#This Row],[Land Bonus]]*20</f>
        <v>250</v>
      </c>
      <c r="AF125" s="113">
        <f ca="1">ROUND(MAX(0.6*TblExplore[[#This Row],[Land-DB]]^1.299,850)*(1+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44685.833333333037</v>
      </c>
      <c r="AB126" s="113">
        <f ca="1">TblMili[[#This Row],[Draftees]]</f>
        <v>626</v>
      </c>
      <c r="AC126" s="113">
        <f ca="1">TblProd[[#This Row],[Platinum]]</f>
        <v>770170</v>
      </c>
      <c r="AD126" s="281"/>
      <c r="AE126" s="49">
        <f ca="1">TblExplore[[#This Row],[Land]]-TblExplore[[#This Row],[Land Bonus]]*20</f>
        <v>250</v>
      </c>
      <c r="AF126" s="113">
        <f ca="1">ROUND(MAX(0.6*TblExplore[[#This Row],[Land-DB]]^1.299,850)*(1+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44685.874999999702</v>
      </c>
      <c r="AB127" s="113">
        <f ca="1">TblMili[[#This Row],[Draftees]]</f>
        <v>626</v>
      </c>
      <c r="AC127" s="113">
        <f ca="1">TblProd[[#This Row],[Platinum]]</f>
        <v>775656</v>
      </c>
      <c r="AD127" s="281"/>
      <c r="AE127" s="49">
        <f ca="1">TblExplore[[#This Row],[Land]]-TblExplore[[#This Row],[Land Bonus]]*20</f>
        <v>250</v>
      </c>
      <c r="AF127" s="113">
        <f ca="1">ROUND(MAX(0.6*TblExplore[[#This Row],[Land-DB]]^1.299,850)*(1+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44685.916666666366</v>
      </c>
      <c r="AB128" s="113">
        <f ca="1">TblMili[[#This Row],[Draftees]]</f>
        <v>626</v>
      </c>
      <c r="AC128" s="113">
        <f ca="1">TblProd[[#This Row],[Platinum]]</f>
        <v>781142</v>
      </c>
      <c r="AD128" s="281"/>
      <c r="AE128" s="49">
        <f ca="1">TblExplore[[#This Row],[Land]]-TblExplore[[#This Row],[Land Bonus]]*20</f>
        <v>250</v>
      </c>
      <c r="AF128" s="113">
        <f ca="1">ROUND(MAX(0.6*TblExplore[[#This Row],[Land-DB]]^1.299,850)*(1+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44685.95833333303</v>
      </c>
      <c r="AB129" s="113">
        <f ca="1">TblMili[[#This Row],[Draftees]]</f>
        <v>626</v>
      </c>
      <c r="AC129" s="113">
        <f ca="1">TblProd[[#This Row],[Platinum]]</f>
        <v>786628</v>
      </c>
      <c r="AD129" s="281"/>
      <c r="AE129" s="49">
        <f ca="1">TblExplore[[#This Row],[Land]]-TblExplore[[#This Row],[Land Bonus]]*20</f>
        <v>250</v>
      </c>
      <c r="AF129" s="113">
        <f ca="1">ROUND(MAX(0.6*TblExplore[[#This Row],[Land-DB]]^1.299,850)*(1+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44685.999999999694</v>
      </c>
      <c r="AB130" s="113">
        <f ca="1">TblMili[[#This Row],[Draftees]]</f>
        <v>626</v>
      </c>
      <c r="AC130" s="113">
        <f ca="1">TblProd[[#This Row],[Platinum]]</f>
        <v>792114</v>
      </c>
      <c r="AD130" s="281"/>
      <c r="AE130" s="49">
        <f ca="1">TblExplore[[#This Row],[Land]]-TblExplore[[#This Row],[Land Bonus]]*20</f>
        <v>250</v>
      </c>
      <c r="AF130" s="113">
        <f ca="1">ROUND(MAX(0.6*TblExplore[[#This Row],[Land-DB]]^1.299,850)*(1+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44686.041666666359</v>
      </c>
      <c r="AB131" s="113">
        <f ca="1">TblMili[[#This Row],[Draftees]]</f>
        <v>626</v>
      </c>
      <c r="AC131" s="113">
        <f ca="1">TblProd[[#This Row],[Platinum]]</f>
        <v>797600</v>
      </c>
      <c r="AD131" s="281"/>
      <c r="AE131" s="49">
        <f ca="1">TblExplore[[#This Row],[Land]]-TblExplore[[#This Row],[Land Bonus]]*20</f>
        <v>250</v>
      </c>
      <c r="AF131" s="113">
        <f ca="1">ROUND(MAX(0.6*TblExplore[[#This Row],[Land-DB]]^1.299,850)*(1+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44686.083333333023</v>
      </c>
      <c r="AB132" s="113">
        <f ca="1">TblMili[[#This Row],[Draftees]]</f>
        <v>626</v>
      </c>
      <c r="AC132" s="113">
        <f ca="1">TblProd[[#This Row],[Platinum]]</f>
        <v>803086</v>
      </c>
      <c r="AD132" s="281"/>
      <c r="AE132" s="49">
        <f ca="1">TblExplore[[#This Row],[Land]]-TblExplore[[#This Row],[Land Bonus]]*20</f>
        <v>250</v>
      </c>
      <c r="AF132" s="113">
        <f ca="1">ROUND(MAX(0.6*TblExplore[[#This Row],[Land-DB]]^1.299,850)*(1+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44686.124999999687</v>
      </c>
      <c r="AB133" s="113">
        <f ca="1">TblMili[[#This Row],[Draftees]]</f>
        <v>626</v>
      </c>
      <c r="AC133" s="113">
        <f ca="1">TblProd[[#This Row],[Platinum]]</f>
        <v>808572</v>
      </c>
      <c r="AD133" s="281"/>
      <c r="AE133" s="49">
        <f ca="1">TblExplore[[#This Row],[Land]]-TblExplore[[#This Row],[Land Bonus]]*20</f>
        <v>250</v>
      </c>
      <c r="AF133" s="113">
        <f ca="1">ROUND(MAX(0.6*TblExplore[[#This Row],[Land-DB]]^1.299,850)*(1+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44686.166666666351</v>
      </c>
      <c r="AB134" s="113">
        <f ca="1">TblMili[[#This Row],[Draftees]]</f>
        <v>626</v>
      </c>
      <c r="AC134" s="113">
        <f ca="1">TblProd[[#This Row],[Platinum]]</f>
        <v>814058</v>
      </c>
      <c r="AD134" s="281"/>
      <c r="AE134" s="49">
        <f ca="1">TblExplore[[#This Row],[Land]]-TblExplore[[#This Row],[Land Bonus]]*20</f>
        <v>250</v>
      </c>
      <c r="AF134" s="113">
        <f ca="1">ROUND(MAX(0.6*TblExplore[[#This Row],[Land-DB]]^1.299,850)*(1+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44686.208333333016</v>
      </c>
      <c r="AB135" s="113">
        <f ca="1">TblMili[[#This Row],[Draftees]]</f>
        <v>626</v>
      </c>
      <c r="AC135" s="113">
        <f ca="1">TblProd[[#This Row],[Platinum]]</f>
        <v>819544</v>
      </c>
      <c r="AD135" s="281"/>
      <c r="AE135" s="49">
        <f ca="1">TblExplore[[#This Row],[Land]]-TblExplore[[#This Row],[Land Bonus]]*20</f>
        <v>250</v>
      </c>
      <c r="AF135" s="113">
        <f ca="1">ROUND(MAX(0.6*TblExplore[[#This Row],[Land-DB]]^1.299,850)*(1+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44686.24999999968</v>
      </c>
      <c r="AB136" s="113">
        <f ca="1">TblMili[[#This Row],[Draftees]]</f>
        <v>626</v>
      </c>
      <c r="AC136" s="113">
        <f ca="1">TblProd[[#This Row],[Platinum]]</f>
        <v>825030</v>
      </c>
      <c r="AD136" s="281"/>
      <c r="AE136" s="49">
        <f ca="1">TblExplore[[#This Row],[Land]]-TblExplore[[#This Row],[Land Bonus]]*20</f>
        <v>250</v>
      </c>
      <c r="AF136" s="113">
        <f ca="1">ROUND(MAX(0.6*TblExplore[[#This Row],[Land-DB]]^1.299,850)*(1+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3" t="s">
        <v>321</v>
      </c>
      <c r="C1269" s="593"/>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4" priority="13" stopIfTrue="1">
      <formula>$M26&lt;$M17</formula>
    </cfRule>
    <cfRule type="expression" dxfId="43" priority="14" stopIfTrue="1">
      <formula>$M17&lt;$M26</formula>
    </cfRule>
  </conditionalFormatting>
  <conditionalFormatting sqref="C1270 D1269:AJ1270 A1269:B1270">
    <cfRule type="expression" dxfId="42" priority="11" stopIfTrue="1">
      <formula>$B$1270&gt;144</formula>
    </cfRule>
  </conditionalFormatting>
  <conditionalFormatting sqref="A4:J136 N4:AJ136">
    <cfRule type="expression" dxfId="41" priority="1" stopIfTrue="1">
      <formula>ROW()-3=$B$1270</formula>
    </cfRule>
  </conditionalFormatting>
  <conditionalFormatting sqref="D4:J136">
    <cfRule type="expression" dxfId="40" priority="2" stopIfTrue="1">
      <formula>OR(ROW()-3=$B$1270,D4&lt;0)</formula>
    </cfRule>
  </conditionalFormatting>
  <conditionalFormatting sqref="A1:XFD3">
    <cfRule type="expression" dxfId="39" priority="16" stopIfTrue="1">
      <formula>$B$1270&lt;0</formula>
    </cfRule>
  </conditionalFormatting>
  <conditionalFormatting sqref="A4:AJ136">
    <cfRule type="expression" dxfId="38" priority="3">
      <formula>$A4=73</formula>
    </cfRule>
    <cfRule type="expression" dxfId="37"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309</v>
      </c>
      <c r="M1" s="72"/>
      <c r="N1" s="72"/>
      <c r="O1" s="72"/>
      <c r="P1" s="72"/>
      <c r="Q1" s="72"/>
      <c r="R1" s="72"/>
      <c r="S1" s="72"/>
      <c r="T1" s="72"/>
      <c r="U1" s="72"/>
      <c r="V1" s="72" t="s">
        <v>198</v>
      </c>
      <c r="W1" s="72"/>
      <c r="X1" s="72" t="s">
        <v>33</v>
      </c>
      <c r="Y1" s="72"/>
      <c r="Z1" s="72"/>
      <c r="AA1" s="72" t="s">
        <v>197</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182</v>
      </c>
      <c r="E3" s="176" t="s">
        <v>59</v>
      </c>
      <c r="F3" s="176" t="s">
        <v>60</v>
      </c>
      <c r="G3" s="176" t="s">
        <v>61</v>
      </c>
      <c r="H3" s="176" t="s">
        <v>62</v>
      </c>
      <c r="I3" s="176" t="s">
        <v>791</v>
      </c>
      <c r="J3" s="176" t="s">
        <v>0</v>
      </c>
      <c r="K3" s="176" t="s">
        <v>316</v>
      </c>
      <c r="L3" s="176" t="s">
        <v>1051</v>
      </c>
      <c r="M3" s="176" t="s">
        <v>1052</v>
      </c>
      <c r="N3" s="176" t="s">
        <v>1053</v>
      </c>
      <c r="O3" s="176" t="s">
        <v>1054</v>
      </c>
      <c r="P3" s="176" t="s">
        <v>1055</v>
      </c>
      <c r="Q3" s="176" t="s">
        <v>1056</v>
      </c>
      <c r="R3" s="176" t="s">
        <v>1057</v>
      </c>
      <c r="S3" s="176" t="s">
        <v>307</v>
      </c>
      <c r="T3" s="176" t="s">
        <v>199</v>
      </c>
      <c r="U3" s="176" t="s">
        <v>792</v>
      </c>
      <c r="V3" s="176" t="s">
        <v>2</v>
      </c>
      <c r="W3" s="176" t="s">
        <v>793</v>
      </c>
      <c r="X3" s="176" t="s">
        <v>57</v>
      </c>
      <c r="Y3" s="176" t="s">
        <v>922</v>
      </c>
      <c r="Z3" s="176" t="s">
        <v>809</v>
      </c>
      <c r="AA3" s="176" t="s">
        <v>265</v>
      </c>
      <c r="AB3" s="176" t="s">
        <v>810</v>
      </c>
      <c r="AC3" s="176" t="s">
        <v>195</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44680.75</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44680.791666666664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44680.833333333328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44680.874999999993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44680.916666666657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44680.958333333321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44680.999999999985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44681.04166666665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44681.083333333314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44681.124999999978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44681.166666666642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44681.208333333307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44681.249999999971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44681.291666666635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44681.333333333299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44681.374999999964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44681.416666666628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44681.458333333292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44681.499999999956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44681.541666666621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44681.583333333285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44681.624999999949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44681.666666666613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44681.708333333278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44681.749999999942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44681.791666666606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44681.83333333327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44681.874999999935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44681.916666666599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44681.958333333263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44681.999999999927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44682.041666666591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44682.083333333256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44682.12499999992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44682.166666666584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44682.208333333248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44682.249999999913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44682.291666666577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44682.333333333241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44682.374999999905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44682.41666666657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44682.458333333234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44682.499999999898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44682.541666666562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44682.583333333227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44682.624999999891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44682.666666666555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44682.708333333219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44682.749999999884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44682.791666666548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44682.833333333212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44682.874999999876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44682.916666666541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44682.958333333205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44682.999999999869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44683.041666666533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44683.083333333198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44683.124999999862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44683.166666666526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44683.20833333319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44683.249999999854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44683.291666666519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44683.333333333183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44683.374999999847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44683.416666666511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44683.458333333176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44683.49999999984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44683.541666666504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44683.583333333168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44683.624999999833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44683.666666666497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44683.708333333161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44683.749999999825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44683.79166666649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44683.833333333154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44683.874999999818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44683.916666666482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44683.958333333147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44683.999999999811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44684.041666666475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44684.083333333139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44684.124999999804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44684.166666666468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44684.208333333132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44684.249999999796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44684.291666666461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44684.333333333125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44684.374999999789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44684.416666666453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44684.458333333117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44684.499999999782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44684.541666666446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44684.58333333311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44684.624999999774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44684.666666666439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44684.708333333103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44684.749999999767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44684.791666666431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44684.833333333096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44684.87499999976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44684.916666666424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44684.958333333088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44684.999999999753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44685.041666666417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44685.083333333081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44685.124999999745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44685.16666666641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44685.208333333074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44685.249999999738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44685.291666666402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44685.333333333067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44685.374999999731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44685.416666666395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44685.458333333059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44685.499999999724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44685.541666666388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44685.583333333052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44685.624999999716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44685.66666666638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44685.708333333045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44685.749999999709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44685.791666666373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44685.833333333037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44685.874999999702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44685.916666666366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44685.95833333303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44685.999999999694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44686.041666666359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44686.083333333023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44686.124999999687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44686.166666666351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44686.208333333016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44686.24999999968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3" t="s">
        <v>321</v>
      </c>
      <c r="B1269" s="593"/>
      <c r="I1269" s="308" t="s">
        <v>311</v>
      </c>
      <c r="L1269" s="309"/>
      <c r="M1269" s="309">
        <v>-10</v>
      </c>
      <c r="N1269" s="309">
        <v>10</v>
      </c>
      <c r="O1269" s="309"/>
      <c r="P1269" s="309"/>
      <c r="Q1269" s="309"/>
      <c r="R1269" s="309"/>
    </row>
    <row r="1270" spans="1:18" x14ac:dyDescent="0.2">
      <c r="A1270" s="174">
        <f>Overview!E17</f>
        <v>0</v>
      </c>
      <c r="B1270" s="174"/>
      <c r="L1270" s="602" t="s">
        <v>310</v>
      </c>
      <c r="M1270" s="549"/>
      <c r="N1270" s="549"/>
      <c r="O1270" s="549"/>
      <c r="P1270" s="549"/>
      <c r="Q1270" s="549"/>
      <c r="R1270" s="549"/>
    </row>
  </sheetData>
  <mergeCells count="2">
    <mergeCell ref="L1270:R1270"/>
    <mergeCell ref="A1269:B1269"/>
  </mergeCells>
  <phoneticPr fontId="0" type="noConversion"/>
  <conditionalFormatting sqref="A1271:AC60158 A137:AC1268">
    <cfRule type="expression" dxfId="36" priority="14" stopIfTrue="1">
      <formula>ROW()-2=#REF!</formula>
    </cfRule>
  </conditionalFormatting>
  <conditionalFormatting sqref="A1269:AC1270">
    <cfRule type="expression" dxfId="35" priority="15" stopIfTrue="1">
      <formula>$A$1270&gt;144</formula>
    </cfRule>
  </conditionalFormatting>
  <conditionalFormatting sqref="A1:AC3">
    <cfRule type="expression" dxfId="34" priority="19" stopIfTrue="1">
      <formula>$A$1270&lt;0</formula>
    </cfRule>
  </conditionalFormatting>
  <conditionalFormatting sqref="A4:AC136">
    <cfRule type="expression" dxfId="33" priority="1" stopIfTrue="1">
      <formula>ROW()-3=$A$1270</formula>
    </cfRule>
    <cfRule type="expression" dxfId="32" priority="2" stopIfTrue="1">
      <formula>OR(AND(ROW()-3=$A$1270,A4="Ok",XFD4&lt;&gt;0),A4="Nope")</formula>
    </cfRule>
    <cfRule type="expression" dxfId="31" priority="4">
      <formula>$J4=73</formula>
    </cfRule>
    <cfRule type="expression" dxfId="30" priority="7">
      <formula>ROUND(($J4-1)/12,0)=INT($J4-1)/12</formula>
    </cfRule>
  </conditionalFormatting>
  <conditionalFormatting sqref="T76">
    <cfRule type="expression" dxfId="29" priority="13" stopIfTrue="1">
      <formula>S76=0</formula>
    </cfRule>
  </conditionalFormatting>
  <conditionalFormatting sqref="B4:H136">
    <cfRule type="cellIs" dxfId="28"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4" t="s">
        <v>31</v>
      </c>
      <c r="P1" s="594"/>
      <c r="Q1" s="594"/>
      <c r="R1" s="604" t="s">
        <v>481</v>
      </c>
      <c r="S1" s="594"/>
      <c r="T1" s="310"/>
      <c r="U1" s="594" t="s">
        <v>482</v>
      </c>
      <c r="V1" s="594"/>
      <c r="W1" s="90"/>
      <c r="X1" s="594" t="s">
        <v>24</v>
      </c>
      <c r="Y1" s="594"/>
      <c r="Z1" s="594"/>
      <c r="AA1" s="174"/>
      <c r="AB1" s="90"/>
      <c r="AC1" s="90"/>
      <c r="AD1" s="90"/>
      <c r="AE1" s="90"/>
      <c r="AF1" s="90" t="s">
        <v>186</v>
      </c>
      <c r="AG1" s="90"/>
      <c r="AH1" s="90"/>
      <c r="AI1" s="90"/>
      <c r="AJ1" s="90"/>
      <c r="AK1" s="90"/>
      <c r="AL1" s="90"/>
      <c r="AM1" s="90"/>
      <c r="AN1" s="90" t="s">
        <v>77</v>
      </c>
      <c r="AO1" s="90"/>
      <c r="AP1" s="90" t="s">
        <v>33</v>
      </c>
      <c r="AQ1" s="90"/>
      <c r="AR1" s="90"/>
      <c r="AS1" s="90"/>
      <c r="AT1" s="90"/>
      <c r="AU1" s="90" t="s">
        <v>191</v>
      </c>
      <c r="AV1" s="90"/>
      <c r="AW1" s="90"/>
      <c r="AX1" s="90"/>
      <c r="AY1" s="90"/>
      <c r="AZ1" s="90"/>
      <c r="BA1" s="90"/>
      <c r="BB1" s="90"/>
      <c r="BC1" s="90"/>
      <c r="BD1" s="90"/>
      <c r="BE1" s="90"/>
      <c r="BF1" s="594" t="s">
        <v>497</v>
      </c>
      <c r="BG1" s="594"/>
      <c r="BH1" s="594"/>
      <c r="BI1" s="594"/>
      <c r="BJ1" s="594"/>
      <c r="BK1" s="594"/>
      <c r="BL1" s="594"/>
      <c r="BM1" s="594"/>
      <c r="BN1" s="595"/>
      <c r="BO1" s="595"/>
      <c r="BP1" s="595"/>
      <c r="BQ1" s="90"/>
      <c r="BR1" s="600" t="s">
        <v>303</v>
      </c>
      <c r="BS1" s="603"/>
      <c r="BT1" s="603"/>
      <c r="BU1" s="174"/>
      <c r="BV1" s="174"/>
      <c r="BW1" s="276"/>
      <c r="BX1" s="276"/>
      <c r="BY1" s="174"/>
      <c r="BZ1" s="174"/>
      <c r="CA1" s="174"/>
      <c r="CB1" s="174"/>
      <c r="CC1" s="174"/>
      <c r="CD1" s="174"/>
      <c r="CE1" s="174"/>
      <c r="CF1" s="174"/>
      <c r="CG1" s="90"/>
      <c r="CH1" s="90"/>
      <c r="CI1" s="90"/>
      <c r="CJ1" s="594" t="s">
        <v>317</v>
      </c>
      <c r="CK1" s="594"/>
      <c r="CL1" s="594"/>
      <c r="CM1" s="595"/>
      <c r="CN1" s="595"/>
      <c r="CO1" s="595"/>
      <c r="CP1" s="595"/>
      <c r="CQ1" s="595"/>
      <c r="CR1" s="595"/>
      <c r="CS1" s="67"/>
      <c r="CT1" s="67"/>
      <c r="CU1" s="67"/>
      <c r="CV1" s="67"/>
      <c r="CW1" s="67"/>
      <c r="CX1" s="67"/>
      <c r="CY1" s="90"/>
      <c r="CZ1" s="90"/>
      <c r="DA1" s="90" t="s">
        <v>259</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193</v>
      </c>
      <c r="D3" s="176" t="s">
        <v>791</v>
      </c>
      <c r="E3" s="176" t="s">
        <v>787</v>
      </c>
      <c r="F3" s="176" t="s">
        <v>788</v>
      </c>
      <c r="G3" s="176" t="s">
        <v>789</v>
      </c>
      <c r="H3" s="176" t="s">
        <v>790</v>
      </c>
      <c r="I3" s="176" t="s">
        <v>25</v>
      </c>
      <c r="J3" s="176" t="s">
        <v>26</v>
      </c>
      <c r="K3" s="176" t="s">
        <v>27</v>
      </c>
      <c r="L3" s="176" t="s">
        <v>792</v>
      </c>
      <c r="M3" s="176" t="s">
        <v>236</v>
      </c>
      <c r="N3" s="176" t="s">
        <v>793</v>
      </c>
      <c r="O3" s="176" t="s">
        <v>194</v>
      </c>
      <c r="P3" s="176" t="s">
        <v>820</v>
      </c>
      <c r="Q3" s="176" t="s">
        <v>233</v>
      </c>
      <c r="R3" s="314" t="s">
        <v>483</v>
      </c>
      <c r="S3" s="176" t="s">
        <v>480</v>
      </c>
      <c r="T3" s="176" t="s">
        <v>821</v>
      </c>
      <c r="U3" s="315" t="s">
        <v>889</v>
      </c>
      <c r="V3" s="176" t="s">
        <v>890</v>
      </c>
      <c r="W3" s="176" t="s">
        <v>1</v>
      </c>
      <c r="X3" s="176" t="s">
        <v>185</v>
      </c>
      <c r="Y3" s="176" t="s">
        <v>184</v>
      </c>
      <c r="Z3" s="176" t="s">
        <v>24</v>
      </c>
      <c r="AA3" s="176" t="s">
        <v>809</v>
      </c>
      <c r="AB3" s="176" t="s">
        <v>189</v>
      </c>
      <c r="AC3" s="176" t="s">
        <v>810</v>
      </c>
      <c r="AD3" s="176" t="s">
        <v>875</v>
      </c>
      <c r="AE3" s="176" t="s">
        <v>316</v>
      </c>
      <c r="AF3" s="176" t="s">
        <v>802</v>
      </c>
      <c r="AG3" s="176" t="s">
        <v>803</v>
      </c>
      <c r="AH3" s="176" t="s">
        <v>804</v>
      </c>
      <c r="AI3" s="176" t="s">
        <v>805</v>
      </c>
      <c r="AJ3" s="176" t="s">
        <v>806</v>
      </c>
      <c r="AK3" s="176" t="s">
        <v>807</v>
      </c>
      <c r="AL3" s="176" t="s">
        <v>808</v>
      </c>
      <c r="AM3" s="176" t="s">
        <v>811</v>
      </c>
      <c r="AN3" s="176" t="s">
        <v>2</v>
      </c>
      <c r="AO3" s="316" t="s">
        <v>1032</v>
      </c>
      <c r="AP3" s="176" t="s">
        <v>822</v>
      </c>
      <c r="AQ3" s="316" t="s">
        <v>1033</v>
      </c>
      <c r="AR3" s="176" t="s">
        <v>1070</v>
      </c>
      <c r="AS3" s="176" t="s">
        <v>1072</v>
      </c>
      <c r="AT3" s="176" t="s">
        <v>795</v>
      </c>
      <c r="AU3" s="176" t="s">
        <v>812</v>
      </c>
      <c r="AV3" s="176" t="s">
        <v>813</v>
      </c>
      <c r="AW3" s="176" t="s">
        <v>814</v>
      </c>
      <c r="AX3" s="176" t="s">
        <v>815</v>
      </c>
      <c r="AY3" s="176" t="s">
        <v>816</v>
      </c>
      <c r="AZ3" s="176" t="s">
        <v>817</v>
      </c>
      <c r="BA3" s="176" t="s">
        <v>818</v>
      </c>
      <c r="BB3" s="176" t="s">
        <v>819</v>
      </c>
      <c r="BC3" s="176" t="s">
        <v>796</v>
      </c>
      <c r="BD3" s="176" t="s">
        <v>237</v>
      </c>
      <c r="BE3" s="176" t="s">
        <v>359</v>
      </c>
      <c r="BF3" s="176" t="s">
        <v>498</v>
      </c>
      <c r="BG3" s="176" t="s">
        <v>499</v>
      </c>
      <c r="BH3" s="176" t="s">
        <v>500</v>
      </c>
      <c r="BI3" s="176" t="s">
        <v>501</v>
      </c>
      <c r="BJ3" s="176" t="s">
        <v>502</v>
      </c>
      <c r="BK3" s="176" t="s">
        <v>503</v>
      </c>
      <c r="BL3" s="176" t="s">
        <v>504</v>
      </c>
      <c r="BM3" s="176" t="s">
        <v>505</v>
      </c>
      <c r="BN3" s="176" t="s">
        <v>918</v>
      </c>
      <c r="BO3" s="176" t="s">
        <v>919</v>
      </c>
      <c r="BP3" s="176" t="s">
        <v>920</v>
      </c>
      <c r="BQ3" s="176" t="s">
        <v>921</v>
      </c>
      <c r="BR3" s="176" t="s">
        <v>250</v>
      </c>
      <c r="BS3" s="176" t="s">
        <v>302</v>
      </c>
      <c r="BT3" s="176" t="s">
        <v>125</v>
      </c>
      <c r="BU3" s="176" t="s">
        <v>1035</v>
      </c>
      <c r="BV3" s="176" t="s">
        <v>1034</v>
      </c>
      <c r="BW3" s="176" t="s">
        <v>141</v>
      </c>
      <c r="BX3" s="176" t="s">
        <v>133</v>
      </c>
      <c r="BY3" s="176" t="s">
        <v>1099</v>
      </c>
      <c r="BZ3" s="176" t="s">
        <v>1103</v>
      </c>
      <c r="CA3" s="176" t="s">
        <v>333</v>
      </c>
      <c r="CB3" s="176" t="s">
        <v>334</v>
      </c>
      <c r="CC3" s="176" t="s">
        <v>338</v>
      </c>
      <c r="CD3" s="176" t="s">
        <v>339</v>
      </c>
      <c r="CE3" s="176" t="s">
        <v>145</v>
      </c>
      <c r="CF3" s="176" t="s">
        <v>507</v>
      </c>
      <c r="CG3" s="317" t="s">
        <v>797</v>
      </c>
      <c r="CH3" s="317" t="s">
        <v>798</v>
      </c>
      <c r="CI3" s="317" t="s">
        <v>799</v>
      </c>
      <c r="CJ3" s="176" t="s">
        <v>1036</v>
      </c>
      <c r="CK3" s="176" t="s">
        <v>904</v>
      </c>
      <c r="CL3" s="176" t="s">
        <v>905</v>
      </c>
      <c r="CM3" s="176" t="s">
        <v>906</v>
      </c>
      <c r="CN3" s="176" t="s">
        <v>907</v>
      </c>
      <c r="CO3" s="176" t="s">
        <v>908</v>
      </c>
      <c r="CP3" s="176" t="s">
        <v>909</v>
      </c>
      <c r="CQ3" s="176" t="s">
        <v>910</v>
      </c>
      <c r="CR3" s="176" t="s">
        <v>911</v>
      </c>
      <c r="CS3" s="176" t="s">
        <v>912</v>
      </c>
      <c r="CT3" s="176" t="s">
        <v>913</v>
      </c>
      <c r="CU3" s="176" t="s">
        <v>914</v>
      </c>
      <c r="CV3" s="317" t="s">
        <v>800</v>
      </c>
      <c r="CW3" s="176" t="s">
        <v>1110</v>
      </c>
      <c r="CX3" s="317" t="s">
        <v>801</v>
      </c>
      <c r="CY3" s="176" t="s">
        <v>915</v>
      </c>
      <c r="CZ3" s="176" t="s">
        <v>1073</v>
      </c>
      <c r="DA3" s="176" t="s">
        <v>916</v>
      </c>
      <c r="DB3" s="176" t="s">
        <v>917</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44680.75</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44680.75</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1000</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1200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44680.791666666664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44680.791666666664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1000</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1200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44680.833333333328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44680.833333333328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1000</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1200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44680.874999999993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44680.874999999993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1000</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1200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44680.916666666657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44680.916666666657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1000</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1200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44680.958333333321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44680.958333333321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1000</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1200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44680.999999999985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44680.999999999985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1000</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1200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335</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44681.04166666665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44681.04166666665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1000</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1200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44681.083333333314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44681.083333333314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1000</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1200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507</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44681.124999999978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44681.124999999978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1000</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1200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44681.166666666642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44681.166666666642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1000</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1200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44681.208333333307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44681.208333333307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1000</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1200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44681.249999999971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44681.249999999971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1000</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1200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44681.291666666635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44681.291666666635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1000</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1200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528</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44681.333333333299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44681.333333333299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1000</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1200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529</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44681.374999999964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44681.374999999964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1000</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1200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530</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44681.416666666628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44681.416666666628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1000</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1200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532</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44681.458333333292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44681.458333333292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1000</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1200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531</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44681.499999999956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44681.499999999956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1000</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1200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44681.541666666621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44681.541666666621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1000</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1200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44681.583333333285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44681.583333333285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1000</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1200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44681.624999999949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44681.624999999949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1000</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1200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44681.666666666613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44681.666666666613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1000</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1200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44681.708333333278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44681.708333333278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1000</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1200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44681.749999999942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44681.749999999942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1000</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1200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44681.791666666606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44681.791666666606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1000</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1200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44681.83333333327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44681.83333333327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1000</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1200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44681.874999999935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44681.874999999935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1000</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1200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44681.916666666599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44681.916666666599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1000</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1200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44681.958333333263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44681.958333333263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1000</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1200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44681.999999999927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44681.999999999927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1000</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1200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44682.041666666591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44682.041666666591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1000</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1200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44682.083333333256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44682.083333333256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1000</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1200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44682.12499999992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44682.12499999992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1000</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1200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44682.166666666584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44682.166666666584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1000</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1200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44682.208333333248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44682.208333333248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1000</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1200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44682.249999999913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44682.249999999913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1000</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1200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44682.291666666577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44682.291666666577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1000</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1200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44682.333333333241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44682.333333333241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1000</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1200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44682.374999999905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44682.374999999905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1000</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1200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44682.41666666657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44682.41666666657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1000</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1200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44682.458333333234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44682.458333333234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1000</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1200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44682.499999999898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44682.499999999898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1000</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1200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44682.541666666562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44682.541666666562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1000</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1200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44682.583333333227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44682.583333333227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1000</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1200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44682.624999999891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44682.624999999891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1000</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1200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44682.666666666555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44682.666666666555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1000</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1200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44682.708333333219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44682.708333333219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1000</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1200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44682.749999999884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44682.749999999884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1000</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1200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44682.791666666548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44682.791666666548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1000</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1200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44682.833333333212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44682.833333333212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1000</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1200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44682.874999999876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44682.874999999876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1000</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1200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44682.916666666541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44682.916666666541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1000</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1200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44682.958333333205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44682.958333333205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1000</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1200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44682.999999999869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44682.999999999869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1000</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1200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44683.041666666533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44683.041666666533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1000</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1200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44683.083333333198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44683.083333333198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1000</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1200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44683.124999999862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44683.124999999862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1000</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1200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44683.166666666526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44683.166666666526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1000</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1200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44683.20833333319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44683.20833333319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1000</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1200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44683.249999999854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44683.249999999854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1000</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1200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44683.291666666519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44683.291666666519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1000</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1200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44683.333333333183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44683.333333333183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1000</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1200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44683.374999999847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44683.374999999847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1000</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1200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44683.416666666511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44683.416666666511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1000</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1200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44683.458333333176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44683.458333333176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1000</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1200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44683.49999999984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44683.49999999984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1000</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1200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44683.541666666504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44683.541666666504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1000</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1200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44683.583333333168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44683.583333333168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1000</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1200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44683.624999999833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44683.624999999833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1000</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1200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44683.666666666497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44683.666666666497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1000</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1200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44683.708333333161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44683.708333333161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1000</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1200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44683.749999999825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44683.749999999825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1000</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1200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44683.79166666649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44683.79166666649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1000</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1200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44683.833333333154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44683.833333333154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1000</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1200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44683.874999999818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44683.874999999818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1000</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1200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44683.916666666482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44683.916666666482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1000</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1200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44683.958333333147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44683.958333333147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1000</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1200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44683.999999999811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44683.999999999811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1000</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1200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44684.041666666475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44684.041666666475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1000</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1200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44684.083333333139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44684.083333333139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1000</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1200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44684.124999999804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44684.124999999804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1000</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1200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44684.166666666468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44684.166666666468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1000</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1200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44684.208333333132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44684.208333333132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1000</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1200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44684.249999999796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44684.249999999796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1000</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1200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44684.291666666461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44684.291666666461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1000</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1200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44684.333333333125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44684.333333333125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1000</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1200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44684.374999999789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44684.374999999789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1000</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1200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44684.416666666453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44684.416666666453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1000</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1200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44684.458333333117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44684.458333333117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1000</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1200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44684.499999999782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44684.499999999782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1000</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1200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44684.541666666446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44684.541666666446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1000</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1200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44684.58333333311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44684.58333333311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1000</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1200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44684.624999999774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44684.624999999774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1000</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1200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44684.666666666439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44684.666666666439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1000</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1200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44684.708333333103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44684.708333333103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1000</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1200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44684.749999999767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44684.749999999767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1000</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1200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44684.791666666431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44684.791666666431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1000</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1200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44684.833333333096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44684.833333333096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1000</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1200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44684.87499999976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44684.87499999976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1000</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1200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44684.916666666424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44684.916666666424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1000</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1200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44684.958333333088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44684.958333333088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1000</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1200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44684.999999999753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44684.999999999753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1000</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1200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44685.041666666417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44685.041666666417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1000</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1200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44685.083333333081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44685.083333333081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1000</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1200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44685.124999999745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44685.124999999745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1000</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1200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44685.16666666641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44685.16666666641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1000</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1200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44685.208333333074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44685.208333333074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1000</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1200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44685.249999999738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44685.249999999738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1000</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1200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44685.291666666402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44685.291666666402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1000</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1200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44685.333333333067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44685.333333333067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1000</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1200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44685.374999999731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44685.374999999731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1000</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1200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44685.416666666395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44685.416666666395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1000</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1200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44685.458333333059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44685.458333333059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1000</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1200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44685.499999999724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44685.499999999724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1000</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1200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44685.541666666388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44685.541666666388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1000</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1200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44685.583333333052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44685.583333333052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1000</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1200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44685.624999999716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44685.624999999716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1000</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1200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44685.66666666638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44685.66666666638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1000</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1200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44685.708333333045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44685.708333333045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1000</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1200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44685.749999999709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44685.749999999709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1000</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1200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44685.791666666373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44685.791666666373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1000</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1200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44685.833333333037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44685.833333333037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1000</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1200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44685.874999999702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44685.874999999702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1000</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1200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44685.916666666366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44685.916666666366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1000</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1200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44685.95833333303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44685.95833333303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1000</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1200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44685.999999999694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44685.999999999694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1000</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1200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44686.041666666359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44686.041666666359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1000</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1200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44686.083333333023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44686.083333333023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1000</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1200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44686.124999999687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44686.124999999687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1000</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1200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44686.166666666351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44686.166666666351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1000</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1200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44686.208333333016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44686.208333333016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1000</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1200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44686.24999999968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44686.24999999968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1000</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1200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3" t="s">
        <v>321</v>
      </c>
      <c r="C1269" s="593"/>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27" priority="37" stopIfTrue="1">
      <formula>ROW()-2=#REF!</formula>
    </cfRule>
  </conditionalFormatting>
  <conditionalFormatting sqref="A1269:DB1270">
    <cfRule type="expression" dxfId="26" priority="38" stopIfTrue="1">
      <formula>$B$1270&gt;144</formula>
    </cfRule>
  </conditionalFormatting>
  <conditionalFormatting sqref="A4:DB136">
    <cfRule type="expression" dxfId="25" priority="1" stopIfTrue="1">
      <formula>ROW()-3=$B$1270</formula>
    </cfRule>
    <cfRule type="expression" dxfId="24" priority="2" stopIfTrue="1">
      <formula>OR(ROW()-3=$B$1270,A4&lt;0)</formula>
    </cfRule>
    <cfRule type="expression" dxfId="23" priority="35">
      <formula>$A4=73</formula>
    </cfRule>
  </conditionalFormatting>
  <conditionalFormatting sqref="A3:DB136">
    <cfRule type="expression" dxfId="22" priority="39">
      <formula>ROUND(($A3-1)/12,0)=INT($A3-1)/12</formula>
    </cfRule>
  </conditionalFormatting>
  <conditionalFormatting sqref="A1:XFD3">
    <cfRule type="expression" dxfId="21"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O1" s="611" t="s">
        <v>1116</v>
      </c>
      <c r="T1" s="605" t="s">
        <v>507</v>
      </c>
      <c r="U1" s="535"/>
      <c r="X1" s="194" t="s">
        <v>33</v>
      </c>
      <c r="AA1" s="194" t="s">
        <v>211</v>
      </c>
      <c r="AF1" s="194" t="s">
        <v>91</v>
      </c>
      <c r="AG1" s="194" t="s">
        <v>94</v>
      </c>
      <c r="AH1" s="194" t="s">
        <v>93</v>
      </c>
      <c r="AI1" s="194" t="s">
        <v>367</v>
      </c>
      <c r="AJ1" s="194" t="s">
        <v>92</v>
      </c>
      <c r="AK1" s="194" t="s">
        <v>103</v>
      </c>
      <c r="AL1" s="194" t="s">
        <v>335</v>
      </c>
      <c r="AM1" s="194" t="s">
        <v>349</v>
      </c>
      <c r="AN1" s="194" t="s">
        <v>507</v>
      </c>
    </row>
    <row r="2" spans="1:41" s="194" customFormat="1" x14ac:dyDescent="0.2">
      <c r="G2" s="194" t="s">
        <v>201</v>
      </c>
      <c r="L2" s="341" t="s">
        <v>544</v>
      </c>
      <c r="M2" s="342" t="s">
        <v>94</v>
      </c>
      <c r="N2" s="341" t="s">
        <v>93</v>
      </c>
      <c r="O2" s="611"/>
      <c r="P2" s="341" t="s">
        <v>92</v>
      </c>
      <c r="Q2" s="341" t="s">
        <v>103</v>
      </c>
      <c r="R2" s="341" t="s">
        <v>335</v>
      </c>
      <c r="S2" s="341" t="s">
        <v>349</v>
      </c>
      <c r="T2" s="605"/>
      <c r="U2" s="535" t="s">
        <v>90</v>
      </c>
      <c r="V2" s="341" t="s">
        <v>509</v>
      </c>
    </row>
    <row r="3" spans="1:41" s="344" customFormat="1" ht="29.25" customHeight="1" thickBot="1" x14ac:dyDescent="0.25">
      <c r="A3" s="196" t="s">
        <v>0</v>
      </c>
      <c r="B3" s="196" t="s">
        <v>1</v>
      </c>
      <c r="C3" s="196" t="s">
        <v>12</v>
      </c>
      <c r="D3" s="196" t="s">
        <v>200</v>
      </c>
      <c r="E3" s="196" t="s">
        <v>316</v>
      </c>
      <c r="F3" s="196" t="s">
        <v>330</v>
      </c>
      <c r="G3" s="196" t="s">
        <v>202</v>
      </c>
      <c r="H3" s="196" t="s">
        <v>203</v>
      </c>
      <c r="I3" s="196" t="s">
        <v>204</v>
      </c>
      <c r="J3" s="196" t="s">
        <v>205</v>
      </c>
      <c r="K3" s="524" t="s">
        <v>206</v>
      </c>
      <c r="L3" s="196" t="s">
        <v>269</v>
      </c>
      <c r="M3" s="343" t="s">
        <v>536</v>
      </c>
      <c r="N3" s="196" t="s">
        <v>268</v>
      </c>
      <c r="O3" s="196" t="s">
        <v>1115</v>
      </c>
      <c r="P3" s="196" t="s">
        <v>304</v>
      </c>
      <c r="Q3" s="196" t="s">
        <v>341</v>
      </c>
      <c r="R3" s="196" t="s">
        <v>340</v>
      </c>
      <c r="S3" s="196" t="s">
        <v>347</v>
      </c>
      <c r="T3" s="196" t="s">
        <v>432</v>
      </c>
      <c r="U3" s="196" t="s">
        <v>1107</v>
      </c>
      <c r="V3" s="196" t="s">
        <v>510</v>
      </c>
      <c r="W3" s="196" t="s">
        <v>791</v>
      </c>
      <c r="X3" s="196" t="s">
        <v>941</v>
      </c>
      <c r="Y3" s="196" t="s">
        <v>942</v>
      </c>
      <c r="Z3" s="196" t="s">
        <v>792</v>
      </c>
      <c r="AA3" s="196" t="s">
        <v>943</v>
      </c>
      <c r="AB3" s="196" t="s">
        <v>944</v>
      </c>
      <c r="AC3" s="196" t="s">
        <v>945</v>
      </c>
      <c r="AD3" s="196" t="s">
        <v>946</v>
      </c>
      <c r="AE3" s="196" t="s">
        <v>947</v>
      </c>
      <c r="AF3" s="196" t="s">
        <v>950</v>
      </c>
      <c r="AG3" s="196" t="s">
        <v>951</v>
      </c>
      <c r="AH3" s="196" t="s">
        <v>952</v>
      </c>
      <c r="AI3" s="196" t="s">
        <v>948</v>
      </c>
      <c r="AJ3" s="196" t="s">
        <v>953</v>
      </c>
      <c r="AK3" s="196" t="s">
        <v>954</v>
      </c>
      <c r="AL3" s="196" t="s">
        <v>955</v>
      </c>
      <c r="AM3" s="196" t="s">
        <v>956</v>
      </c>
      <c r="AN3" s="196" t="s">
        <v>949</v>
      </c>
      <c r="AO3" s="537" t="s">
        <v>1108</v>
      </c>
    </row>
    <row r="4" spans="1:41" x14ac:dyDescent="0.2">
      <c r="A4" s="178">
        <f>TblRezone[[#This Row],[Hour]]</f>
        <v>1</v>
      </c>
      <c r="B4" s="200">
        <f ca="1">TblConstr[[#This Row],[Land]]</f>
        <v>250</v>
      </c>
      <c r="C4" s="113">
        <f ca="1">TblProd[[#This Row],[Mana]]</f>
        <v>0</v>
      </c>
      <c r="D4" s="517">
        <f>1-TblMagic[[#This Row],[Wiz str cost]]</f>
        <v>1</v>
      </c>
      <c r="E4" s="205">
        <f>Imps!L4</f>
        <v>44680.75</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 / Crusade]]*12</f>
        <v>0</v>
      </c>
      <c r="AJ4" s="518">
        <f>TblMagic[[#This Row],[Gaia''s Blessing]]*12</f>
        <v>0</v>
      </c>
      <c r="AK4" s="518">
        <f>TblMagic[[#This Row],[Howling]]*12</f>
        <v>0</v>
      </c>
      <c r="AL4" s="518">
        <f>TblMagic[[#This Row],[Blizzard]]*12</f>
        <v>0</v>
      </c>
      <c r="AM4" s="518">
        <f>TblMagic[[#This Row],[Alchemists Flame]]*12</f>
        <v>0</v>
      </c>
      <c r="AN4" s="518">
        <f>TblMagic[[#This Row],[Nightfall]]*12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44680.791666666664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 / Crusade]],12,IF(OFFSET(TblMagic[[#This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44680.833333333328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 / Crusade]],12,IF(OFFSET(TblMagic[[#This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44680.874999999993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 / Crusade]],12,IF(OFFSET(TblMagic[[#This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44680.916666666657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 / Crusade]],12,IF(OFFSET(TblMagic[[#This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44680.958333333321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 / Crusade]],12,IF(OFFSET(TblMagic[[#This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44680.999999999985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 / Crusade]],12,IF(OFFSET(TblMagic[[#This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44681.04166666665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 / Crusade]],12,IF(OFFSET(TblMagic[[#This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44681.083333333314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 / Crusade]],12,IF(OFFSET(TblMagic[[#This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44681.124999999978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 / Crusade]],12,IF(OFFSET(TblMagic[[#This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44681.166666666642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 / Crusade]],12,IF(OFFSET(TblMagic[[#This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44681.208333333307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 / Crusade]],12,IF(OFFSET(TblMagic[[#This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44681.249999999971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 / Crusade]],12,IF(OFFSET(TblMagic[[#This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44681.291666666635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 / Crusade]],12,IF(OFFSET(TblMagic[[#This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44681.333333333299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 / Crusade]],12,IF(OFFSET(TblMagic[[#This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44681.374999999964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 / Crusade]],12,IF(OFFSET(TblMagic[[#This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44681.416666666628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 / Crusade]],12,IF(OFFSET(TblMagic[[#This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44681.458333333292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 / Crusade]],12,IF(OFFSET(TblMagic[[#This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44681.499999999956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 / Crusade]],12,IF(OFFSET(TblMagic[[#This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44681.541666666621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 / Crusade]],12,IF(OFFSET(TblMagic[[#This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44681.583333333285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 / Crusade]],12,IF(OFFSET(TblMagic[[#This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44681.624999999949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 / Crusade]],12,IF(OFFSET(TblMagic[[#This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44681.666666666613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 / Crusade]],12,IF(OFFSET(TblMagic[[#This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44681.708333333278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 / Crusade]],12,IF(OFFSET(TblMagic[[#This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44681.749999999942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 / Crusade]],12,IF(OFFSET(TblMagic[[#This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44681.791666666606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 / Crusade]],12,IF(OFFSET(TblMagic[[#This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44681.83333333327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 / Crusade]],12,IF(OFFSET(TblMagic[[#This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44681.874999999935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 / Crusade]],12,IF(OFFSET(TblMagic[[#This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44681.916666666599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 / Crusade]],12,IF(OFFSET(TblMagic[[#This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44681.958333333263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 / Crusade]],12,IF(OFFSET(TblMagic[[#This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44681.999999999927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 / Crusade]],12,IF(OFFSET(TblMagic[[#This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44682.041666666591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 / Crusade]],12,IF(OFFSET(TblMagic[[#This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44682.083333333256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 / Crusade]],12,IF(OFFSET(TblMagic[[#This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44682.12499999992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 / Crusade]],12,IF(OFFSET(TblMagic[[#This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44682.166666666584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 / Crusade]],12,IF(OFFSET(TblMagic[[#This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44682.208333333248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 / Crusade]],12,IF(OFFSET(TblMagic[[#This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44682.249999999913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 / Crusade]],12,IF(OFFSET(TblMagic[[#This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44682.291666666577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 / Crusade]],12,IF(OFFSET(TblMagic[[#This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44682.333333333241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 / Crusade]],12,IF(OFFSET(TblMagic[[#This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44682.374999999905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 / Crusade]],12,IF(OFFSET(TblMagic[[#This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44682.41666666657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 / Crusade]],12,IF(OFFSET(TblMagic[[#This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44682.458333333234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 / Crusade]],12,IF(OFFSET(TblMagic[[#This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44682.499999999898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 / Crusade]],12,IF(OFFSET(TblMagic[[#This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44682.541666666562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 / Crusade]],12,IF(OFFSET(TblMagic[[#This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44682.583333333227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 / Crusade]],12,IF(OFFSET(TblMagic[[#This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44682.624999999891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 / Crusade]],12,IF(OFFSET(TblMagic[[#This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44682.666666666555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 / Crusade]],12,IF(OFFSET(TblMagic[[#This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44682.708333333219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 / Crusade]],12,IF(OFFSET(TblMagic[[#This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44682.749999999884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 / Crusade]],12,IF(OFFSET(TblMagic[[#This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44682.791666666548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 / Crusade]],12,IF(OFFSET(TblMagic[[#This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44682.833333333212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 / Crusade]],12,IF(OFFSET(TblMagic[[#This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44682.874999999876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 / Crusade]],12,IF(OFFSET(TblMagic[[#This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44682.916666666541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 / Crusade]],12,IF(OFFSET(TblMagic[[#This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44682.958333333205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 / Crusade]],12,IF(OFFSET(TblMagic[[#This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44682.999999999869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 / Crusade]],12,IF(OFFSET(TblMagic[[#This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44683.041666666533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 / Crusade]],12,IF(OFFSET(TblMagic[[#This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44683.083333333198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 / Crusade]],12,IF(OFFSET(TblMagic[[#This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44683.124999999862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 / Crusade]],12,IF(OFFSET(TblMagic[[#This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44683.166666666526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 / Crusade]],12,IF(OFFSET(TblMagic[[#This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44683.20833333319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 / Crusade]],12,IF(OFFSET(TblMagic[[#This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44683.249999999854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 / Crusade]],12,IF(OFFSET(TblMagic[[#This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44683.291666666519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 / Crusade]],12,IF(OFFSET(TblMagic[[#This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44683.333333333183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 / Crusade]],12,IF(OFFSET(TblMagic[[#This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44683.374999999847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 / Crusade]],12,IF(OFFSET(TblMagic[[#This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44683.416666666511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 / Crusade]],12,IF(OFFSET(TblMagic[[#This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44683.458333333176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 / Crusade]],12,IF(OFFSET(TblMagic[[#This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44683.49999999984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 / Crusade]],12,IF(OFFSET(TblMagic[[#This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44683.541666666504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 / Crusade]],12,IF(OFFSET(TblMagic[[#This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44683.583333333168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 / Crusade]],12,IF(OFFSET(TblMagic[[#This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44683.624999999833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 / Crusade]],12,IF(OFFSET(TblMagic[[#This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44683.666666666497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 / Crusade]],12,IF(OFFSET(TblMagic[[#This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44683.708333333161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 / Crusade]],12,IF(OFFSET(TblMagic[[#This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44683.749999999825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 / Crusade]],12,IF(OFFSET(TblMagic[[#This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44683.79166666649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 / Crusade]],12,IF(OFFSET(TblMagic[[#This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44683.833333333154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 / Crusade]],12,IF(OFFSET(TblMagic[[#This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44683.874999999818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 / Crusade]],12,IF(OFFSET(TblMagic[[#This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44683.916666666482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 / Crusade]],12,IF(OFFSET(TblMagic[[#This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44683.958333333147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 / Crusade]],12,IF(OFFSET(TblMagic[[#This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44683.999999999811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 / Crusade]],12,IF(OFFSET(TblMagic[[#This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44684.041666666475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 / Crusade]],12,IF(OFFSET(TblMagic[[#This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44684.083333333139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 / Crusade]],12,IF(OFFSET(TblMagic[[#This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44684.124999999804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 / Crusade]],12,IF(OFFSET(TblMagic[[#This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44684.166666666468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 / Crusade]],12,IF(OFFSET(TblMagic[[#This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44684.208333333132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 / Crusade]],12,IF(OFFSET(TblMagic[[#This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44684.249999999796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 / Crusade]],12,IF(OFFSET(TblMagic[[#This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44684.291666666461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 / Crusade]],12,IF(OFFSET(TblMagic[[#This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44684.333333333125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 / Crusade]],12,IF(OFFSET(TblMagic[[#This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44684.374999999789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 / Crusade]],12,IF(OFFSET(TblMagic[[#This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44684.416666666453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 / Crusade]],12,IF(OFFSET(TblMagic[[#This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44684.458333333117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 / Crusade]],12,IF(OFFSET(TblMagic[[#This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44684.499999999782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 / Crusade]],12,IF(OFFSET(TblMagic[[#This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44684.541666666446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 / Crusade]],12,IF(OFFSET(TblMagic[[#This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44684.58333333311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 / Crusade]],12,IF(OFFSET(TblMagic[[#This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44684.624999999774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 / Crusade]],12,IF(OFFSET(TblMagic[[#This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44684.666666666439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 / Crusade]],12,IF(OFFSET(TblMagic[[#This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44684.708333333103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 / Crusade]],12,IF(OFFSET(TblMagic[[#This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44684.749999999767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 / Crusade]],12,IF(OFFSET(TblMagic[[#This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44684.791666666431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 / Crusade]],12,IF(OFFSET(TblMagic[[#This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44684.833333333096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 / Crusade]],12,IF(OFFSET(TblMagic[[#This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44684.87499999976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 / Crusade]],12,IF(OFFSET(TblMagic[[#This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44684.916666666424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 / Crusade]],12,IF(OFFSET(TblMagic[[#This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44684.958333333088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 / Crusade]],12,IF(OFFSET(TblMagic[[#This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44684.999999999753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 / Crusade]],12,IF(OFFSET(TblMagic[[#This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44685.041666666417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 / Crusade]],12,IF(OFFSET(TblMagic[[#This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44685.083333333081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 / Crusade]],12,IF(OFFSET(TblMagic[[#This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44685.124999999745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 / Crusade]],12,IF(OFFSET(TblMagic[[#This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44685.16666666641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 / Crusade]],12,IF(OFFSET(TblMagic[[#This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44685.208333333074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 / Crusade]],12,IF(OFFSET(TblMagic[[#This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44685.249999999738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 / Crusade]],12,IF(OFFSET(TblMagic[[#This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44685.291666666402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 / Crusade]],12,IF(OFFSET(TblMagic[[#This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44685.333333333067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 / Crusade]],12,IF(OFFSET(TblMagic[[#This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44685.374999999731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 / Crusade]],12,IF(OFFSET(TblMagic[[#This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44685.416666666395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 / Crusade]],12,IF(OFFSET(TblMagic[[#This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44685.458333333059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 / Crusade]],12,IF(OFFSET(TblMagic[[#This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44685.499999999724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 / Crusade]],12,IF(OFFSET(TblMagic[[#This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44685.541666666388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 / Crusade]],12,IF(OFFSET(TblMagic[[#This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44685.583333333052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 / Crusade]],12,IF(OFFSET(TblMagic[[#This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44685.624999999716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 / Crusade]],12,IF(OFFSET(TblMagic[[#This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44685.66666666638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 / Crusade]],12,IF(OFFSET(TblMagic[[#This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44685.708333333045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 / Crusade]],12,IF(OFFSET(TblMagic[[#This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44685.749999999709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 / Crusade]],12,IF(OFFSET(TblMagic[[#This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44685.791666666373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 / Crusade]],12,IF(OFFSET(TblMagic[[#This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44685.833333333037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 / Crusade]],12,IF(OFFSET(TblMagic[[#This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44685.874999999702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 / Crusade]],12,IF(OFFSET(TblMagic[[#This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44685.916666666366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 / Crusade]],12,IF(OFFSET(TblMagic[[#This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44685.95833333303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 / Crusade]],12,IF(OFFSET(TblMagic[[#This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44685.999999999694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 / Crusade]],12,IF(OFFSET(TblMagic[[#This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44686.041666666359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 / Crusade]],12,IF(OFFSET(TblMagic[[#This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44686.083333333023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 / Crusade]],12,IF(OFFSET(TblMagic[[#This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44686.124999999687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 / Crusade]],12,IF(OFFSET(TblMagic[[#This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44686.166666666351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 / Crusade]],12,IF(OFFSET(TblMagic[[#This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44686.208333333016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 / Crusade]],12,IF(OFFSET(TblMagic[[#This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44686.24999999968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 / Crusade]],12,IF(OFFSET(TblMagic[[#This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3" t="s">
        <v>321</v>
      </c>
      <c r="D1269" s="549"/>
    </row>
    <row r="1270" spans="3:4" x14ac:dyDescent="0.2">
      <c r="C1270" s="174">
        <f>Overview!E17</f>
        <v>0</v>
      </c>
      <c r="D1270" s="174"/>
    </row>
  </sheetData>
  <mergeCells count="3">
    <mergeCell ref="C1269:D1269"/>
    <mergeCell ref="T1:T2"/>
    <mergeCell ref="O1:O2"/>
  </mergeCells>
  <phoneticPr fontId="0" type="noConversion"/>
  <conditionalFormatting sqref="Y18614:AN29782 B12459:C20616 AO18583:IW29751 AO8199:IW8199 B8250:AN8250">
    <cfRule type="expression" dxfId="20" priority="17" stopIfTrue="1">
      <formula>ROW()-2=#REF!</formula>
    </cfRule>
  </conditionalFormatting>
  <conditionalFormatting sqref="A1269:XFD1270">
    <cfRule type="expression" dxfId="19" priority="18" stopIfTrue="1">
      <formula>$C$1270&gt;144</formula>
    </cfRule>
  </conditionalFormatting>
  <conditionalFormatting sqref="A4:AO136">
    <cfRule type="expression" dxfId="18" priority="1" stopIfTrue="1">
      <formula>ROW()-3=$C$1270</formula>
    </cfRule>
    <cfRule type="expression" dxfId="17" priority="2" stopIfTrue="1">
      <formula>OR(ROW()-3=$C$1270,A4&lt;0)</formula>
    </cfRule>
    <cfRule type="expression" dxfId="16" priority="3">
      <formula>$A4=73</formula>
    </cfRule>
    <cfRule type="expression" dxfId="15" priority="11">
      <formula>ROUND(($A4-1)/12,0)=INT($A4-1)/12</formula>
    </cfRule>
  </conditionalFormatting>
  <conditionalFormatting sqref="G16:V136">
    <cfRule type="expression" dxfId="14" priority="12">
      <formula>COUNTA(G5:G16)&gt;0</formula>
    </cfRule>
  </conditionalFormatting>
  <conditionalFormatting sqref="A3:XFD3 A2:N2 P2:XFD2 A1:XFD1">
    <cfRule type="expression" dxfId="13"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1029</v>
      </c>
      <c r="F2" s="366">
        <f>IFERROR(SMALL(TblTech[Activate @ hour],1),0)</f>
        <v>0</v>
      </c>
      <c r="G2" s="97" t="s">
        <v>1095</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377</v>
      </c>
      <c r="D3" s="349" t="s">
        <v>33</v>
      </c>
      <c r="E3" s="349" t="s">
        <v>791</v>
      </c>
      <c r="F3" s="349" t="s">
        <v>1030</v>
      </c>
      <c r="G3" s="349" t="s">
        <v>957</v>
      </c>
      <c r="H3" s="349" t="s">
        <v>1001</v>
      </c>
      <c r="I3" s="349" t="s">
        <v>1002</v>
      </c>
      <c r="J3" s="349" t="s">
        <v>792</v>
      </c>
      <c r="K3" s="350" t="s">
        <v>793</v>
      </c>
      <c r="L3" s="349" t="s">
        <v>958</v>
      </c>
      <c r="M3" s="351" t="s">
        <v>545</v>
      </c>
      <c r="N3" s="351" t="s">
        <v>547</v>
      </c>
      <c r="O3" s="351" t="s">
        <v>549</v>
      </c>
      <c r="P3" s="351" t="s">
        <v>551</v>
      </c>
      <c r="Q3" s="351" t="s">
        <v>553</v>
      </c>
      <c r="R3" s="351" t="s">
        <v>555</v>
      </c>
      <c r="S3" s="351" t="s">
        <v>556</v>
      </c>
      <c r="T3" s="351" t="s">
        <v>557</v>
      </c>
      <c r="U3" s="351" t="s">
        <v>558</v>
      </c>
      <c r="V3" s="351" t="s">
        <v>560</v>
      </c>
      <c r="W3" s="351" t="s">
        <v>562</v>
      </c>
      <c r="X3" s="351" t="s">
        <v>563</v>
      </c>
      <c r="Y3" s="351" t="s">
        <v>564</v>
      </c>
      <c r="Z3" s="351" t="s">
        <v>565</v>
      </c>
      <c r="AA3" s="351" t="s">
        <v>567</v>
      </c>
      <c r="AB3" s="351" t="s">
        <v>569</v>
      </c>
      <c r="AC3" s="351" t="s">
        <v>570</v>
      </c>
      <c r="AD3" s="351" t="s">
        <v>572</v>
      </c>
      <c r="AE3" s="351" t="s">
        <v>574</v>
      </c>
      <c r="AF3" s="351" t="s">
        <v>575</v>
      </c>
      <c r="AG3" s="351" t="s">
        <v>576</v>
      </c>
      <c r="AH3" s="351" t="s">
        <v>578</v>
      </c>
      <c r="AI3" s="351" t="s">
        <v>580</v>
      </c>
      <c r="AJ3" s="351" t="s">
        <v>582</v>
      </c>
      <c r="AK3" s="351" t="s">
        <v>583</v>
      </c>
      <c r="AL3" s="351" t="s">
        <v>585</v>
      </c>
      <c r="AM3" s="351" t="s">
        <v>586</v>
      </c>
      <c r="AN3" s="351" t="s">
        <v>587</v>
      </c>
      <c r="AO3" s="351" t="s">
        <v>588</v>
      </c>
      <c r="AP3" s="351" t="s">
        <v>590</v>
      </c>
      <c r="AQ3" s="351" t="s">
        <v>592</v>
      </c>
      <c r="AR3" s="351" t="s">
        <v>593</v>
      </c>
      <c r="AS3" s="351" t="s">
        <v>594</v>
      </c>
      <c r="AT3" s="351" t="s">
        <v>595</v>
      </c>
      <c r="AU3" s="351" t="s">
        <v>596</v>
      </c>
      <c r="AV3" s="351" t="s">
        <v>597</v>
      </c>
      <c r="AW3" s="351" t="s">
        <v>599</v>
      </c>
      <c r="AX3" s="351" t="s">
        <v>601</v>
      </c>
      <c r="AY3" s="351" t="s">
        <v>602</v>
      </c>
      <c r="AZ3" s="351" t="s">
        <v>603</v>
      </c>
      <c r="BA3" s="351" t="s">
        <v>604</v>
      </c>
      <c r="BB3" s="351" t="s">
        <v>605</v>
      </c>
      <c r="BC3" s="351" t="s">
        <v>606</v>
      </c>
      <c r="BD3" s="351" t="s">
        <v>607</v>
      </c>
      <c r="BE3" s="351" t="s">
        <v>608</v>
      </c>
      <c r="BF3" s="351" t="s">
        <v>609</v>
      </c>
      <c r="BG3" s="351" t="s">
        <v>610</v>
      </c>
      <c r="BH3" s="351" t="s">
        <v>612</v>
      </c>
      <c r="BI3" s="351" t="s">
        <v>613</v>
      </c>
      <c r="BJ3" s="351" t="s">
        <v>615</v>
      </c>
      <c r="BK3" s="351" t="s">
        <v>616</v>
      </c>
      <c r="BL3" s="351" t="s">
        <v>617</v>
      </c>
      <c r="BM3" s="351" t="s">
        <v>619</v>
      </c>
      <c r="BN3" s="351" t="s">
        <v>621</v>
      </c>
      <c r="BO3" s="351" t="s">
        <v>622</v>
      </c>
      <c r="BP3" s="351" t="s">
        <v>623</v>
      </c>
      <c r="BQ3" s="351" t="s">
        <v>625</v>
      </c>
      <c r="BR3" s="351" t="s">
        <v>626</v>
      </c>
      <c r="BS3" s="351" t="s">
        <v>628</v>
      </c>
      <c r="BT3" s="351" t="s">
        <v>630</v>
      </c>
      <c r="BU3" s="351" t="s">
        <v>631</v>
      </c>
      <c r="BV3" s="351" t="s">
        <v>633</v>
      </c>
      <c r="BW3" s="351" t="s">
        <v>634</v>
      </c>
      <c r="BX3" s="351" t="s">
        <v>635</v>
      </c>
      <c r="BY3" s="351" t="s">
        <v>637</v>
      </c>
      <c r="BZ3" s="351" t="s">
        <v>638</v>
      </c>
      <c r="CA3" s="351" t="s">
        <v>694</v>
      </c>
    </row>
    <row r="4" spans="1:79" x14ac:dyDescent="0.2">
      <c r="A4" s="352">
        <f>TblRezone[[#This Row],[Hour]]</f>
        <v>1</v>
      </c>
      <c r="B4" s="353">
        <f ca="1">TblExplore[[#This Row],[Land-DB]]</f>
        <v>250</v>
      </c>
      <c r="C4" s="354">
        <f ca="1">TblProd[[#This Row],[Techpoints]]</f>
        <v>0</v>
      </c>
      <c r="D4" s="355">
        <f ca="1">TblProd[[#This Row],[Required]]</f>
        <v>3750</v>
      </c>
      <c r="E4" s="356"/>
      <c r="F4" s="357"/>
      <c r="G4" s="358" t="s">
        <v>545</v>
      </c>
      <c r="H4" s="359" t="s">
        <v>695</v>
      </c>
      <c r="I4" s="358" t="s">
        <v>546</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 ca="1">TblProd[[#This Row],[Required]]</f>
        <v>3750</v>
      </c>
      <c r="E5" s="356"/>
      <c r="F5" s="357"/>
      <c r="G5" s="358" t="s">
        <v>547</v>
      </c>
      <c r="H5" s="359" t="s">
        <v>696</v>
      </c>
      <c r="I5" s="358" t="s">
        <v>548</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 ca="1">TblProd[[#This Row],[Required]]</f>
        <v>3750</v>
      </c>
      <c r="E6" s="356"/>
      <c r="F6" s="357"/>
      <c r="G6" s="358" t="s">
        <v>549</v>
      </c>
      <c r="H6" s="359" t="s">
        <v>697</v>
      </c>
      <c r="I6" s="358" t="s">
        <v>550</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 ca="1">TblProd[[#This Row],[Required]]</f>
        <v>3750</v>
      </c>
      <c r="E7" s="356"/>
      <c r="F7" s="357"/>
      <c r="G7" s="358" t="s">
        <v>551</v>
      </c>
      <c r="H7" s="359" t="s">
        <v>698</v>
      </c>
      <c r="I7" s="358" t="s">
        <v>552</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 ca="1">TblProd[[#This Row],[Required]]</f>
        <v>3750</v>
      </c>
      <c r="E8" s="356"/>
      <c r="F8" s="357"/>
      <c r="G8" s="358" t="s">
        <v>553</v>
      </c>
      <c r="H8" s="359" t="s">
        <v>699</v>
      </c>
      <c r="I8" s="358" t="s">
        <v>554</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 ca="1">TblProd[[#This Row],[Required]]</f>
        <v>3750</v>
      </c>
      <c r="E9" s="356"/>
      <c r="F9" s="357"/>
      <c r="G9" s="358" t="s">
        <v>555</v>
      </c>
      <c r="H9" s="359" t="s">
        <v>710</v>
      </c>
      <c r="I9" s="358" t="s">
        <v>571</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 ca="1">TblProd[[#This Row],[Required]]</f>
        <v>3750</v>
      </c>
      <c r="E10" s="356"/>
      <c r="F10" s="357"/>
      <c r="G10" s="358" t="s">
        <v>556</v>
      </c>
      <c r="H10" s="359" t="s">
        <v>739</v>
      </c>
      <c r="I10" s="358" t="s">
        <v>754</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 ca="1">TblProd[[#This Row],[Required]]</f>
        <v>3750</v>
      </c>
      <c r="E11" s="356"/>
      <c r="F11" s="357"/>
      <c r="G11" s="358" t="s">
        <v>557</v>
      </c>
      <c r="H11" s="359" t="s">
        <v>702</v>
      </c>
      <c r="I11" s="358" t="s">
        <v>1076</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 ca="1">TblProd[[#This Row],[Required]]</f>
        <v>3750</v>
      </c>
      <c r="E12" s="356"/>
      <c r="F12" s="357"/>
      <c r="G12" s="358" t="s">
        <v>558</v>
      </c>
      <c r="H12" s="359" t="s">
        <v>721</v>
      </c>
      <c r="I12" s="358" t="s">
        <v>591</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 ca="1">TblProd[[#This Row],[Required]]</f>
        <v>3750</v>
      </c>
      <c r="E13" s="356"/>
      <c r="F13" s="357"/>
      <c r="G13" s="358" t="s">
        <v>560</v>
      </c>
      <c r="H13" s="359" t="s">
        <v>703</v>
      </c>
      <c r="I13" s="358" t="s">
        <v>559</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 ca="1">TblProd[[#This Row],[Required]]</f>
        <v>3750</v>
      </c>
      <c r="E14" s="356"/>
      <c r="F14" s="357"/>
      <c r="G14" s="358" t="s">
        <v>562</v>
      </c>
      <c r="H14" s="359" t="s">
        <v>1088</v>
      </c>
      <c r="I14" s="358" t="s">
        <v>755</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 ca="1">TblProd[[#This Row],[Required]]</f>
        <v>3750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 ca="1">TblProd[[#This Row],[Required]]</f>
        <v>3750</v>
      </c>
      <c r="E16" s="356"/>
      <c r="F16" s="357"/>
      <c r="G16" s="358" t="s">
        <v>563</v>
      </c>
      <c r="H16" s="359" t="s">
        <v>705</v>
      </c>
      <c r="I16" s="358" t="s">
        <v>766</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 ca="1">TblProd[[#This Row],[Required]]</f>
        <v>3750</v>
      </c>
      <c r="E17" s="356"/>
      <c r="F17" s="357"/>
      <c r="G17" s="358" t="s">
        <v>564</v>
      </c>
      <c r="H17" s="359" t="s">
        <v>706</v>
      </c>
      <c r="I17" s="358" t="s">
        <v>767</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 ca="1">TblProd[[#This Row],[Required]]</f>
        <v>3750</v>
      </c>
      <c r="E18" s="356"/>
      <c r="F18" s="357"/>
      <c r="G18" s="358" t="s">
        <v>565</v>
      </c>
      <c r="H18" s="359" t="s">
        <v>707</v>
      </c>
      <c r="I18" s="358" t="s">
        <v>566</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 ca="1">TblProd[[#This Row],[Required]]</f>
        <v>3750</v>
      </c>
      <c r="E19" s="356"/>
      <c r="F19" s="357"/>
      <c r="G19" s="358" t="s">
        <v>567</v>
      </c>
      <c r="H19" s="359" t="s">
        <v>708</v>
      </c>
      <c r="I19" s="358" t="s">
        <v>568</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 ca="1">TblProd[[#This Row],[Required]]</f>
        <v>3750</v>
      </c>
      <c r="E20" s="356"/>
      <c r="F20" s="357"/>
      <c r="G20" s="358" t="s">
        <v>569</v>
      </c>
      <c r="H20" s="359" t="s">
        <v>709</v>
      </c>
      <c r="I20" s="358" t="s">
        <v>1077</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 ca="1">TblProd[[#This Row],[Required]]</f>
        <v>3750</v>
      </c>
      <c r="E21" s="356"/>
      <c r="F21" s="357"/>
      <c r="G21" s="358" t="s">
        <v>570</v>
      </c>
      <c r="H21" s="359" t="s">
        <v>701</v>
      </c>
      <c r="I21" s="358" t="s">
        <v>756</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 ca="1">TblProd[[#This Row],[Required]]</f>
        <v>3750</v>
      </c>
      <c r="E22" s="356"/>
      <c r="F22" s="357"/>
      <c r="G22" s="358" t="s">
        <v>572</v>
      </c>
      <c r="H22" s="359" t="s">
        <v>728</v>
      </c>
      <c r="I22" s="358" t="s">
        <v>1078</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 ca="1">TblProd[[#This Row],[Required]]</f>
        <v>3750</v>
      </c>
      <c r="E23" s="356"/>
      <c r="F23" s="357"/>
      <c r="G23" s="358" t="s">
        <v>574</v>
      </c>
      <c r="H23" s="359" t="s">
        <v>712</v>
      </c>
      <c r="I23" s="358" t="s">
        <v>757</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 ca="1">TblProd[[#This Row],[Required]]</f>
        <v>3750</v>
      </c>
      <c r="E24" s="356"/>
      <c r="F24" s="357"/>
      <c r="G24" s="358" t="s">
        <v>575</v>
      </c>
      <c r="H24" s="359" t="s">
        <v>713</v>
      </c>
      <c r="I24" s="358" t="s">
        <v>758</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 ca="1">TblProd[[#This Row],[Required]]</f>
        <v>3750</v>
      </c>
      <c r="E25" s="356"/>
      <c r="F25" s="357"/>
      <c r="G25" s="358" t="s">
        <v>576</v>
      </c>
      <c r="H25" s="359" t="s">
        <v>714</v>
      </c>
      <c r="I25" s="358" t="s">
        <v>577</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 ca="1">TblProd[[#This Row],[Required]]</f>
        <v>3750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 ca="1">TblProd[[#This Row],[Required]]</f>
        <v>3750</v>
      </c>
      <c r="E27" s="356"/>
      <c r="F27" s="357"/>
      <c r="G27" s="358" t="s">
        <v>578</v>
      </c>
      <c r="H27" s="359" t="s">
        <v>715</v>
      </c>
      <c r="I27" s="358" t="s">
        <v>579</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 ca="1">TblProd[[#This Row],[Required]]</f>
        <v>3750</v>
      </c>
      <c r="E28" s="356"/>
      <c r="F28" s="357"/>
      <c r="G28" s="358" t="s">
        <v>580</v>
      </c>
      <c r="H28" s="359" t="s">
        <v>716</v>
      </c>
      <c r="I28" s="358" t="s">
        <v>581</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 ca="1">TblProd[[#This Row],[Required]]</f>
        <v>3750</v>
      </c>
      <c r="E29" s="356"/>
      <c r="F29" s="357"/>
      <c r="G29" s="358" t="s">
        <v>582</v>
      </c>
      <c r="H29" s="359" t="s">
        <v>717</v>
      </c>
      <c r="I29" s="358" t="s">
        <v>768</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 ca="1">TblProd[[#This Row],[Required]]</f>
        <v>3750</v>
      </c>
      <c r="E30" s="356"/>
      <c r="F30" s="357"/>
      <c r="G30" s="358" t="s">
        <v>583</v>
      </c>
      <c r="H30" s="359" t="s">
        <v>718</v>
      </c>
      <c r="I30" s="358" t="s">
        <v>584</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 ca="1">TblProd[[#This Row],[Required]]</f>
        <v>3750</v>
      </c>
      <c r="E31" s="356"/>
      <c r="F31" s="357"/>
      <c r="G31" s="358" t="s">
        <v>585</v>
      </c>
      <c r="H31" s="359" t="s">
        <v>700</v>
      </c>
      <c r="I31" s="358" t="s">
        <v>1079</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 ca="1">TblProd[[#This Row],[Required]]</f>
        <v>3750</v>
      </c>
      <c r="E32" s="356"/>
      <c r="F32" s="357"/>
      <c r="G32" s="358" t="s">
        <v>586</v>
      </c>
      <c r="H32" s="359" t="s">
        <v>711</v>
      </c>
      <c r="I32" s="358" t="s">
        <v>573</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 ca="1">TblProd[[#This Row],[Required]]</f>
        <v>3750</v>
      </c>
      <c r="E33" s="356"/>
      <c r="F33" s="357"/>
      <c r="G33" s="358" t="s">
        <v>587</v>
      </c>
      <c r="H33" s="359" t="s">
        <v>719</v>
      </c>
      <c r="I33" s="358" t="s">
        <v>759</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 ca="1">TblProd[[#This Row],[Required]]</f>
        <v>3750</v>
      </c>
      <c r="E34" s="356"/>
      <c r="F34" s="357"/>
      <c r="G34" s="358" t="s">
        <v>588</v>
      </c>
      <c r="H34" s="359" t="s">
        <v>720</v>
      </c>
      <c r="I34" s="358" t="s">
        <v>589</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 ca="1">TblProd[[#This Row],[Required]]</f>
        <v>3750</v>
      </c>
      <c r="E35" s="356"/>
      <c r="F35" s="357"/>
      <c r="G35" s="358" t="s">
        <v>590</v>
      </c>
      <c r="H35" s="359" t="s">
        <v>704</v>
      </c>
      <c r="I35" s="358" t="s">
        <v>561</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 ca="1">TblProd[[#This Row],[Required]]</f>
        <v>3750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 ca="1">TblProd[[#This Row],[Required]]</f>
        <v>3750</v>
      </c>
      <c r="E37" s="356"/>
      <c r="F37" s="357"/>
      <c r="G37" s="358" t="s">
        <v>592</v>
      </c>
      <c r="H37" s="359" t="s">
        <v>722</v>
      </c>
      <c r="I37" s="358" t="s">
        <v>776</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 ca="1">TblProd[[#This Row],[Required]]</f>
        <v>3750</v>
      </c>
      <c r="E38" s="356"/>
      <c r="F38" s="357"/>
      <c r="G38" s="358" t="s">
        <v>593</v>
      </c>
      <c r="H38" s="359" t="s">
        <v>723</v>
      </c>
      <c r="I38" s="358" t="s">
        <v>641</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 ca="1">TblProd[[#This Row],[Required]]</f>
        <v>3750</v>
      </c>
      <c r="E39" s="356"/>
      <c r="F39" s="357"/>
      <c r="G39" s="358" t="s">
        <v>594</v>
      </c>
      <c r="H39" s="359" t="s">
        <v>724</v>
      </c>
      <c r="I39" s="358" t="s">
        <v>1080</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 ca="1">TblProd[[#This Row],[Required]]</f>
        <v>3750</v>
      </c>
      <c r="E40" s="356"/>
      <c r="F40" s="357"/>
      <c r="G40" s="358" t="s">
        <v>595</v>
      </c>
      <c r="H40" s="359" t="s">
        <v>725</v>
      </c>
      <c r="I40" s="358" t="s">
        <v>1081</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 ca="1">TblProd[[#This Row],[Required]]</f>
        <v>3750</v>
      </c>
      <c r="E41" s="356"/>
      <c r="F41" s="357"/>
      <c r="G41" s="358" t="s">
        <v>596</v>
      </c>
      <c r="H41" s="359" t="s">
        <v>1087</v>
      </c>
      <c r="I41" s="358" t="s">
        <v>1082</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 ca="1">TblProd[[#This Row],[Required]]</f>
        <v>3750</v>
      </c>
      <c r="E42" s="356"/>
      <c r="F42" s="357"/>
      <c r="G42" s="358" t="s">
        <v>597</v>
      </c>
      <c r="H42" s="359" t="s">
        <v>727</v>
      </c>
      <c r="I42" s="358" t="s">
        <v>600</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 ca="1">TblProd[[#This Row],[Required]]</f>
        <v>3750</v>
      </c>
      <c r="E43" s="356"/>
      <c r="F43" s="357"/>
      <c r="G43" s="358" t="s">
        <v>599</v>
      </c>
      <c r="H43" s="359" t="s">
        <v>1089</v>
      </c>
      <c r="I43" s="358" t="s">
        <v>760</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 ca="1">TblProd[[#This Row],[Required]]</f>
        <v>3750</v>
      </c>
      <c r="E44" s="356"/>
      <c r="F44" s="357"/>
      <c r="G44" s="358" t="s">
        <v>601</v>
      </c>
      <c r="H44" s="359" t="s">
        <v>726</v>
      </c>
      <c r="I44" s="358" t="s">
        <v>598</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 ca="1">TblProd[[#This Row],[Required]]</f>
        <v>3750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 ca="1">TblProd[[#This Row],[Required]]</f>
        <v>3750</v>
      </c>
      <c r="E46" s="356"/>
      <c r="F46" s="357"/>
      <c r="G46" s="358" t="s">
        <v>602</v>
      </c>
      <c r="H46" s="359" t="s">
        <v>730</v>
      </c>
      <c r="I46" s="358" t="s">
        <v>1083</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 ca="1">TblProd[[#This Row],[Required]]</f>
        <v>3750</v>
      </c>
      <c r="E47" s="356"/>
      <c r="F47" s="357"/>
      <c r="G47" s="358" t="s">
        <v>603</v>
      </c>
      <c r="H47" s="359" t="s">
        <v>729</v>
      </c>
      <c r="I47" s="358" t="s">
        <v>761</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 ca="1">TblProd[[#This Row],[Required]]</f>
        <v>3750</v>
      </c>
      <c r="E48" s="356"/>
      <c r="F48" s="357"/>
      <c r="G48" s="358" t="s">
        <v>604</v>
      </c>
      <c r="H48" s="359" t="s">
        <v>731</v>
      </c>
      <c r="I48" s="358" t="s">
        <v>1079</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 ca="1">TblProd[[#This Row],[Required]]</f>
        <v>3750</v>
      </c>
      <c r="E49" s="356"/>
      <c r="F49" s="357"/>
      <c r="G49" s="358" t="s">
        <v>605</v>
      </c>
      <c r="H49" s="359" t="s">
        <v>732</v>
      </c>
      <c r="I49" s="358" t="s">
        <v>642</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 ca="1">TblProd[[#This Row],[Required]]</f>
        <v>3750</v>
      </c>
      <c r="E50" s="356"/>
      <c r="F50" s="357"/>
      <c r="G50" s="358" t="s">
        <v>606</v>
      </c>
      <c r="H50" s="359" t="s">
        <v>733</v>
      </c>
      <c r="I50" s="358" t="s">
        <v>1079</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 ca="1">TblProd[[#This Row],[Required]]</f>
        <v>3750</v>
      </c>
      <c r="E51" s="356"/>
      <c r="F51" s="357"/>
      <c r="G51" s="358" t="s">
        <v>607</v>
      </c>
      <c r="H51" s="359" t="s">
        <v>400</v>
      </c>
      <c r="I51" s="358" t="s">
        <v>1084</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 ca="1">TblProd[[#This Row],[Required]]</f>
        <v>3750</v>
      </c>
      <c r="E52" s="356"/>
      <c r="F52" s="357"/>
      <c r="G52" s="358" t="s">
        <v>608</v>
      </c>
      <c r="H52" s="359" t="s">
        <v>735</v>
      </c>
      <c r="I52" s="358" t="s">
        <v>643</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 ca="1">TblProd[[#This Row],[Required]]</f>
        <v>3750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 ca="1">TblProd[[#This Row],[Required]]</f>
        <v>3750</v>
      </c>
      <c r="E54" s="356"/>
      <c r="F54" s="357"/>
      <c r="G54" s="358" t="s">
        <v>609</v>
      </c>
      <c r="H54" s="359" t="s">
        <v>736</v>
      </c>
      <c r="I54" s="358" t="s">
        <v>573</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 ca="1">TblProd[[#This Row],[Required]]</f>
        <v>3750</v>
      </c>
      <c r="E55" s="356"/>
      <c r="F55" s="357"/>
      <c r="G55" s="358" t="s">
        <v>610</v>
      </c>
      <c r="H55" s="359" t="s">
        <v>737</v>
      </c>
      <c r="I55" s="358" t="s">
        <v>611</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 ca="1">TblProd[[#This Row],[Required]]</f>
        <v>3750</v>
      </c>
      <c r="E56" s="356"/>
      <c r="F56" s="357"/>
      <c r="G56" s="358" t="s">
        <v>612</v>
      </c>
      <c r="H56" s="359" t="s">
        <v>1090</v>
      </c>
      <c r="I56" s="358" t="s">
        <v>1085</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 ca="1">TblProd[[#This Row],[Required]]</f>
        <v>3750</v>
      </c>
      <c r="E57" s="356"/>
      <c r="F57" s="357"/>
      <c r="G57" s="358" t="s">
        <v>613</v>
      </c>
      <c r="H57" s="359" t="s">
        <v>738</v>
      </c>
      <c r="I57" s="358" t="s">
        <v>614</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 ca="1">TblProd[[#This Row],[Required]]</f>
        <v>3750</v>
      </c>
      <c r="E58" s="356"/>
      <c r="F58" s="357"/>
      <c r="G58" s="358" t="s">
        <v>615</v>
      </c>
      <c r="H58" s="359" t="s">
        <v>734</v>
      </c>
      <c r="I58" s="358" t="s">
        <v>762</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 ca="1">TblProd[[#This Row],[Required]]</f>
        <v>3750</v>
      </c>
      <c r="E59" s="356"/>
      <c r="F59" s="357"/>
      <c r="G59" s="358" t="s">
        <v>616</v>
      </c>
      <c r="H59" s="359" t="s">
        <v>740</v>
      </c>
      <c r="I59" s="358" t="s">
        <v>763</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 ca="1">TblProd[[#This Row],[Required]]</f>
        <v>3750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 ca="1">TblProd[[#This Row],[Required]]</f>
        <v>3750</v>
      </c>
      <c r="E61" s="356"/>
      <c r="F61" s="357"/>
      <c r="G61" s="358" t="s">
        <v>617</v>
      </c>
      <c r="H61" s="359" t="s">
        <v>741</v>
      </c>
      <c r="I61" s="358" t="s">
        <v>618</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 ca="1">TblProd[[#This Row],[Required]]</f>
        <v>3750</v>
      </c>
      <c r="E62" s="356"/>
      <c r="F62" s="357"/>
      <c r="G62" s="358" t="s">
        <v>619</v>
      </c>
      <c r="H62" s="359" t="s">
        <v>745</v>
      </c>
      <c r="I62" s="358" t="s">
        <v>1086</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 ca="1">TblProd[[#This Row],[Required]]</f>
        <v>3750</v>
      </c>
      <c r="E63" s="356"/>
      <c r="F63" s="357"/>
      <c r="G63" s="358" t="s">
        <v>621</v>
      </c>
      <c r="H63" s="359" t="s">
        <v>1091</v>
      </c>
      <c r="I63" s="358" t="s">
        <v>764</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 ca="1">TblProd[[#This Row],[Required]]</f>
        <v>3750</v>
      </c>
      <c r="E64" s="356"/>
      <c r="F64" s="357"/>
      <c r="G64" s="358" t="s">
        <v>622</v>
      </c>
      <c r="H64" s="359" t="s">
        <v>743</v>
      </c>
      <c r="I64" s="358" t="s">
        <v>644</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 ca="1">TblProd[[#This Row],[Required]]</f>
        <v>3750</v>
      </c>
      <c r="E65" s="356"/>
      <c r="F65" s="357"/>
      <c r="G65" s="358" t="s">
        <v>623</v>
      </c>
      <c r="H65" s="359" t="s">
        <v>744</v>
      </c>
      <c r="I65" s="358" t="s">
        <v>624</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 ca="1">TblProd[[#This Row],[Required]]</f>
        <v>3750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 ca="1">TblProd[[#This Row],[Required]]</f>
        <v>3750</v>
      </c>
      <c r="E67" s="356"/>
      <c r="F67" s="357"/>
      <c r="G67" s="358" t="s">
        <v>625</v>
      </c>
      <c r="H67" s="359" t="s">
        <v>1092</v>
      </c>
      <c r="I67" s="358" t="s">
        <v>765</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 ca="1">TblProd[[#This Row],[Required]]</f>
        <v>3750</v>
      </c>
      <c r="E68" s="356"/>
      <c r="F68" s="357"/>
      <c r="G68" s="358" t="s">
        <v>626</v>
      </c>
      <c r="H68" s="359" t="s">
        <v>746</v>
      </c>
      <c r="I68" s="358" t="s">
        <v>627</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 ca="1">TblProd[[#This Row],[Required]]</f>
        <v>3750</v>
      </c>
      <c r="E69" s="356"/>
      <c r="F69" s="357"/>
      <c r="G69" s="358" t="s">
        <v>628</v>
      </c>
      <c r="H69" s="359" t="s">
        <v>747</v>
      </c>
      <c r="I69" s="358" t="s">
        <v>629</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 ca="1">TblProd[[#This Row],[Required]]</f>
        <v>3750</v>
      </c>
      <c r="E70" s="356"/>
      <c r="F70" s="357"/>
      <c r="G70" s="358" t="s">
        <v>630</v>
      </c>
      <c r="H70" s="359" t="s">
        <v>748</v>
      </c>
      <c r="I70" s="358" t="s">
        <v>777</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 ca="1">TblProd[[#This Row],[Required]]</f>
        <v>3750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 ca="1">TblProd[[#This Row],[Required]]</f>
        <v>3750</v>
      </c>
      <c r="E72" s="356"/>
      <c r="F72" s="357"/>
      <c r="G72" s="358" t="s">
        <v>631</v>
      </c>
      <c r="H72" s="359" t="s">
        <v>749</v>
      </c>
      <c r="I72" s="358" t="s">
        <v>632</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 ca="1">TblProd[[#This Row],[Required]]</f>
        <v>3750</v>
      </c>
      <c r="E73" s="356"/>
      <c r="F73" s="357"/>
      <c r="G73" s="358" t="s">
        <v>633</v>
      </c>
      <c r="H73" s="359" t="s">
        <v>750</v>
      </c>
      <c r="I73" s="358" t="s">
        <v>577</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 ca="1">TblProd[[#This Row],[Required]]</f>
        <v>3750</v>
      </c>
      <c r="E74" s="356"/>
      <c r="F74" s="357"/>
      <c r="G74" s="358" t="s">
        <v>634</v>
      </c>
      <c r="H74" s="359" t="s">
        <v>751</v>
      </c>
      <c r="I74" s="358" t="s">
        <v>778</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 ca="1">TblProd[[#This Row],[Required]]</f>
        <v>3750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 ca="1">TblProd[[#This Row],[Required]]</f>
        <v>3750</v>
      </c>
      <c r="E76" s="356"/>
      <c r="F76" s="357"/>
      <c r="G76" s="358" t="s">
        <v>635</v>
      </c>
      <c r="H76" s="359" t="s">
        <v>742</v>
      </c>
      <c r="I76" s="358" t="s">
        <v>620</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 ca="1">TblProd[[#This Row],[Required]]</f>
        <v>3750</v>
      </c>
      <c r="E77" s="356"/>
      <c r="F77" s="357"/>
      <c r="G77" s="358" t="s">
        <v>637</v>
      </c>
      <c r="H77" s="359" t="s">
        <v>752</v>
      </c>
      <c r="I77" s="358" t="s">
        <v>636</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 ca="1">TblProd[[#This Row],[Required]]</f>
        <v>3750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 ca="1">TblProd[[#This Row],[Required]]</f>
        <v>3750</v>
      </c>
      <c r="E79" s="356"/>
      <c r="F79" s="357"/>
      <c r="G79" s="358" t="s">
        <v>638</v>
      </c>
      <c r="H79" s="359" t="s">
        <v>753</v>
      </c>
      <c r="I79" s="358" t="s">
        <v>639</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 ca="1">TblProd[[#This Row],[Required]]</f>
        <v>3750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 ca="1">TblProd[[#This Row],[Required]]</f>
        <v>3750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 ca="1">TblProd[[#This Row],[Required]]</f>
        <v>3750</v>
      </c>
      <c r="E82" s="364"/>
      <c r="F82" s="365"/>
      <c r="G82" s="358" t="s">
        <v>1003</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 ca="1">TblProd[[#This Row],[Required]]</f>
        <v>3750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 ca="1">TblProd[[#This Row],[Required]]</f>
        <v>3750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 ca="1">TblProd[[#This Row],[Required]]</f>
        <v>3750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 ca="1">TblProd[[#This Row],[Required]]</f>
        <v>3750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 ca="1">TblProd[[#This Row],[Required]]</f>
        <v>3750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 ca="1">TblProd[[#This Row],[Required]]</f>
        <v>3750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 ca="1">TblProd[[#This Row],[Required]]</f>
        <v>3750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 ca="1">TblProd[[#This Row],[Required]]</f>
        <v>3750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 ca="1">TblProd[[#This Row],[Required]]</f>
        <v>3750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 ca="1">TblProd[[#This Row],[Required]]</f>
        <v>3750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 ca="1">TblProd[[#This Row],[Required]]</f>
        <v>3750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 ca="1">TblProd[[#This Row],[Required]]</f>
        <v>3750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 ca="1">TblProd[[#This Row],[Required]]</f>
        <v>3750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 ca="1">TblProd[[#This Row],[Required]]</f>
        <v>3750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 ca="1">TblProd[[#This Row],[Required]]</f>
        <v>3750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 ca="1">TblProd[[#This Row],[Required]]</f>
        <v>3750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 ca="1">TblProd[[#This Row],[Required]]</f>
        <v>3750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 ca="1">TblProd[[#This Row],[Required]]</f>
        <v>3750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 ca="1">TblProd[[#This Row],[Required]]</f>
        <v>3750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 ca="1">TblProd[[#This Row],[Required]]</f>
        <v>3750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 ca="1">TblProd[[#This Row],[Required]]</f>
        <v>3750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 ca="1">TblProd[[#This Row],[Required]]</f>
        <v>3750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 ca="1">TblProd[[#This Row],[Required]]</f>
        <v>3750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 ca="1">TblProd[[#This Row],[Required]]</f>
        <v>3750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 ca="1">TblProd[[#This Row],[Required]]</f>
        <v>3750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 ca="1">TblProd[[#This Row],[Required]]</f>
        <v>3750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 ca="1">TblProd[[#This Row],[Required]]</f>
        <v>3750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 ca="1">TblProd[[#This Row],[Required]]</f>
        <v>3750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 ca="1">TblProd[[#This Row],[Required]]</f>
        <v>3750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 ca="1">TblProd[[#This Row],[Required]]</f>
        <v>3750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 ca="1">TblProd[[#This Row],[Required]]</f>
        <v>3750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 ca="1">TblProd[[#This Row],[Required]]</f>
        <v>3750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 ca="1">TblProd[[#This Row],[Required]]</f>
        <v>3750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 ca="1">TblProd[[#This Row],[Required]]</f>
        <v>3750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 ca="1">TblProd[[#This Row],[Required]]</f>
        <v>3750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 ca="1">TblProd[[#This Row],[Required]]</f>
        <v>3750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 ca="1">TblProd[[#This Row],[Required]]</f>
        <v>3750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 ca="1">TblProd[[#This Row],[Required]]</f>
        <v>3750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 ca="1">TblProd[[#This Row],[Required]]</f>
        <v>3750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 ca="1">TblProd[[#This Row],[Required]]</f>
        <v>3750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 ca="1">TblProd[[#This Row],[Required]]</f>
        <v>3750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 ca="1">TblProd[[#This Row],[Required]]</f>
        <v>3750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 ca="1">TblProd[[#This Row],[Required]]</f>
        <v>3750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 ca="1">TblProd[[#This Row],[Required]]</f>
        <v>3750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 ca="1">TblProd[[#This Row],[Required]]</f>
        <v>3750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 ca="1">TblProd[[#This Row],[Required]]</f>
        <v>3750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 ca="1">TblProd[[#This Row],[Required]]</f>
        <v>3750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 ca="1">TblProd[[#This Row],[Required]]</f>
        <v>3750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 ca="1">TblProd[[#This Row],[Required]]</f>
        <v>3750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 ca="1">TblProd[[#This Row],[Required]]</f>
        <v>3750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 ca="1">TblProd[[#This Row],[Required]]</f>
        <v>3750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 ca="1">TblProd[[#This Row],[Required]]</f>
        <v>3750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 ca="1">TblProd[[#This Row],[Required]]</f>
        <v>3750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 ca="1">TblProd[[#This Row],[Required]]</f>
        <v>3750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287</v>
      </c>
      <c r="K1" s="194"/>
      <c r="O1" s="72" t="s">
        <v>221</v>
      </c>
      <c r="W1" s="72" t="s">
        <v>1031</v>
      </c>
      <c r="Y1" s="194" t="s">
        <v>37</v>
      </c>
      <c r="Z1" s="194"/>
      <c r="AA1" s="194"/>
      <c r="AB1" s="194"/>
      <c r="AC1" s="194"/>
      <c r="AD1" s="194"/>
      <c r="AF1" s="608" t="s">
        <v>215</v>
      </c>
      <c r="AG1" s="608"/>
      <c r="AH1" s="194"/>
      <c r="AI1" s="194"/>
      <c r="AJ1" s="194"/>
      <c r="AK1" s="194"/>
      <c r="AM1" s="606" t="s">
        <v>223</v>
      </c>
      <c r="AN1" s="606"/>
      <c r="AO1" s="367"/>
      <c r="AP1" s="367"/>
      <c r="AQ1" s="368"/>
      <c r="AR1" s="606" t="s">
        <v>224</v>
      </c>
      <c r="AS1" s="606"/>
      <c r="AT1" s="607"/>
      <c r="AU1" s="367"/>
      <c r="AV1" s="368"/>
      <c r="AW1" s="606" t="s">
        <v>225</v>
      </c>
      <c r="AX1" s="606"/>
      <c r="AY1" s="606"/>
      <c r="AZ1" s="367"/>
      <c r="BA1" s="368"/>
      <c r="BB1" s="606" t="s">
        <v>226</v>
      </c>
      <c r="BC1" s="606"/>
      <c r="BD1" s="606"/>
      <c r="BE1" s="606"/>
      <c r="BF1" s="368"/>
      <c r="BG1" s="606" t="s">
        <v>227</v>
      </c>
      <c r="BH1" s="606"/>
      <c r="BI1" s="606"/>
      <c r="BJ1" s="367"/>
      <c r="BK1" s="368"/>
      <c r="BL1" s="606" t="s">
        <v>228</v>
      </c>
      <c r="BM1" s="607"/>
      <c r="BN1" s="607"/>
      <c r="BO1" s="367"/>
      <c r="BP1" s="368"/>
      <c r="BQ1" s="606" t="s">
        <v>229</v>
      </c>
      <c r="BR1" s="606"/>
      <c r="BS1" s="606"/>
      <c r="BT1" s="367"/>
      <c r="BV1" s="72" t="s">
        <v>313</v>
      </c>
    </row>
    <row r="2" spans="1:84" s="72" customFormat="1" x14ac:dyDescent="0.2">
      <c r="C2" s="194"/>
      <c r="D2" s="194"/>
      <c r="E2" s="194"/>
      <c r="F2" s="194"/>
      <c r="K2" s="194"/>
      <c r="Y2" s="369" t="s">
        <v>214</v>
      </c>
      <c r="Z2" s="369" t="s">
        <v>216</v>
      </c>
      <c r="AA2" s="369" t="s">
        <v>217</v>
      </c>
      <c r="AB2" s="369" t="s">
        <v>218</v>
      </c>
      <c r="AC2" s="369" t="s">
        <v>219</v>
      </c>
      <c r="AD2" s="369" t="s">
        <v>220</v>
      </c>
      <c r="AF2" s="369" t="s">
        <v>214</v>
      </c>
      <c r="AG2" s="369" t="s">
        <v>216</v>
      </c>
      <c r="AH2" s="369" t="s">
        <v>217</v>
      </c>
      <c r="AI2" s="369" t="s">
        <v>218</v>
      </c>
      <c r="AJ2" s="369" t="s">
        <v>219</v>
      </c>
      <c r="AK2" s="369" t="s">
        <v>220</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791</v>
      </c>
      <c r="C3" s="196" t="s">
        <v>2</v>
      </c>
      <c r="D3" s="196" t="s">
        <v>7</v>
      </c>
      <c r="E3" s="196" t="s">
        <v>3</v>
      </c>
      <c r="F3" s="196" t="s">
        <v>4</v>
      </c>
      <c r="G3" s="196" t="s">
        <v>792</v>
      </c>
      <c r="H3" s="196" t="s">
        <v>279</v>
      </c>
      <c r="I3" s="196" t="s">
        <v>230</v>
      </c>
      <c r="J3" s="196" t="s">
        <v>23</v>
      </c>
      <c r="K3" s="196" t="s">
        <v>0</v>
      </c>
      <c r="L3" s="196" t="s">
        <v>316</v>
      </c>
      <c r="M3" s="196" t="s">
        <v>312</v>
      </c>
      <c r="N3" s="196" t="s">
        <v>992</v>
      </c>
      <c r="O3" s="196" t="s">
        <v>319</v>
      </c>
      <c r="P3" s="196" t="s">
        <v>222</v>
      </c>
      <c r="Q3" s="196" t="s">
        <v>320</v>
      </c>
      <c r="R3" s="196" t="s">
        <v>993</v>
      </c>
      <c r="S3" s="196" t="s">
        <v>994</v>
      </c>
      <c r="T3" s="196" t="s">
        <v>995</v>
      </c>
      <c r="U3" s="196" t="s">
        <v>996</v>
      </c>
      <c r="V3" s="196" t="s">
        <v>997</v>
      </c>
      <c r="W3" s="196" t="s">
        <v>998</v>
      </c>
      <c r="X3" s="196" t="s">
        <v>793</v>
      </c>
      <c r="Y3" s="196" t="s">
        <v>214</v>
      </c>
      <c r="Z3" s="196" t="s">
        <v>216</v>
      </c>
      <c r="AA3" s="196" t="s">
        <v>217</v>
      </c>
      <c r="AB3" s="196" t="s">
        <v>218</v>
      </c>
      <c r="AC3" s="196" t="s">
        <v>219</v>
      </c>
      <c r="AD3" s="196" t="s">
        <v>220</v>
      </c>
      <c r="AE3" s="196" t="s">
        <v>809</v>
      </c>
      <c r="AF3" s="196" t="s">
        <v>1061</v>
      </c>
      <c r="AG3" s="196" t="s">
        <v>959</v>
      </c>
      <c r="AH3" s="196" t="s">
        <v>960</v>
      </c>
      <c r="AI3" s="196" t="s">
        <v>961</v>
      </c>
      <c r="AJ3" s="196" t="s">
        <v>962</v>
      </c>
      <c r="AK3" s="196" t="s">
        <v>963</v>
      </c>
      <c r="AL3" s="196" t="s">
        <v>810</v>
      </c>
      <c r="AM3" s="371" t="s">
        <v>964</v>
      </c>
      <c r="AN3" s="371" t="s">
        <v>965</v>
      </c>
      <c r="AO3" s="371" t="s">
        <v>966</v>
      </c>
      <c r="AP3" s="371" t="s">
        <v>967</v>
      </c>
      <c r="AQ3" s="371" t="s">
        <v>811</v>
      </c>
      <c r="AR3" s="371" t="s">
        <v>968</v>
      </c>
      <c r="AS3" s="371" t="s">
        <v>969</v>
      </c>
      <c r="AT3" s="371" t="s">
        <v>970</v>
      </c>
      <c r="AU3" s="371" t="s">
        <v>971</v>
      </c>
      <c r="AV3" s="371" t="s">
        <v>886</v>
      </c>
      <c r="AW3" s="371" t="s">
        <v>972</v>
      </c>
      <c r="AX3" s="371" t="s">
        <v>973</v>
      </c>
      <c r="AY3" s="371" t="s">
        <v>974</v>
      </c>
      <c r="AZ3" s="371" t="s">
        <v>975</v>
      </c>
      <c r="BA3" s="371" t="s">
        <v>887</v>
      </c>
      <c r="BB3" s="371" t="s">
        <v>976</v>
      </c>
      <c r="BC3" s="371" t="s">
        <v>977</v>
      </c>
      <c r="BD3" s="371" t="s">
        <v>978</v>
      </c>
      <c r="BE3" s="371" t="s">
        <v>979</v>
      </c>
      <c r="BF3" s="371" t="s">
        <v>1062</v>
      </c>
      <c r="BG3" s="371" t="s">
        <v>980</v>
      </c>
      <c r="BH3" s="371" t="s">
        <v>981</v>
      </c>
      <c r="BI3" s="371" t="s">
        <v>982</v>
      </c>
      <c r="BJ3" s="371" t="s">
        <v>983</v>
      </c>
      <c r="BK3" s="371" t="s">
        <v>1063</v>
      </c>
      <c r="BL3" s="371" t="s">
        <v>984</v>
      </c>
      <c r="BM3" s="371" t="s">
        <v>985</v>
      </c>
      <c r="BN3" s="371" t="s">
        <v>986</v>
      </c>
      <c r="BO3" s="371" t="s">
        <v>987</v>
      </c>
      <c r="BP3" s="371" t="s">
        <v>1064</v>
      </c>
      <c r="BQ3" s="371" t="s">
        <v>988</v>
      </c>
      <c r="BR3" s="371" t="s">
        <v>989</v>
      </c>
      <c r="BS3" s="371" t="s">
        <v>990</v>
      </c>
      <c r="BT3" s="371" t="s">
        <v>991</v>
      </c>
      <c r="BU3" s="196" t="s">
        <v>1065</v>
      </c>
      <c r="BV3" s="372" t="s">
        <v>314</v>
      </c>
      <c r="BW3" s="196" t="s">
        <v>999</v>
      </c>
      <c r="BX3" s="196" t="s">
        <v>1066</v>
      </c>
      <c r="BY3" s="196" t="s">
        <v>1000</v>
      </c>
      <c r="BZ3" s="196" t="s">
        <v>315</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44680.75</v>
      </c>
      <c r="M4" s="74">
        <f>IF(ISERROR(TblImps[[#This Row],[algorithm]]),0,TblImps[[#This Row],[algorithm]]*1)</f>
        <v>0</v>
      </c>
      <c r="N4" s="113">
        <f ca="1">TblImps[[#This Row],[Land]]</f>
        <v>250</v>
      </c>
      <c r="O4" s="375" t="s">
        <v>4</v>
      </c>
      <c r="P4" s="376"/>
      <c r="Q4" s="375" t="s">
        <v>214</v>
      </c>
      <c r="R4" s="375" t="s">
        <v>7</v>
      </c>
      <c r="S4" s="376"/>
      <c r="T4" s="375" t="s">
        <v>214</v>
      </c>
      <c r="U4" s="375" t="s">
        <v>3</v>
      </c>
      <c r="V4" s="376"/>
      <c r="W4" s="375" t="s">
        <v>214</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44680.75</v>
      </c>
      <c r="BZ4" s="383">
        <f>Overview!B15</f>
        <v>44681</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44680.791666666664</v>
      </c>
      <c r="M5" s="74">
        <f>IF(ISERROR(TblImps[[#This Row],[algorithm]]),0,TblImps[[#This Row],[algorithm]]*1)</f>
        <v>0</v>
      </c>
      <c r="N5" s="113">
        <f ca="1">TblImps[[#This Row],[Land]]</f>
        <v>250</v>
      </c>
      <c r="O5" s="375" t="s">
        <v>4</v>
      </c>
      <c r="P5" s="376"/>
      <c r="Q5" s="375" t="s">
        <v>216</v>
      </c>
      <c r="R5" s="375" t="s">
        <v>7</v>
      </c>
      <c r="S5" s="376"/>
      <c r="T5" s="375" t="s">
        <v>216</v>
      </c>
      <c r="U5" s="375" t="s">
        <v>3</v>
      </c>
      <c r="V5" s="376"/>
      <c r="W5" s="375" t="s">
        <v>216</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44680.791666666664</v>
      </c>
      <c r="BZ5" s="387">
        <f ca="1">OFFSET(TblImps[[#This Row],[Servertime]],-1,0)+1/24</f>
        <v>44681.041666666664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44680.833333333328</v>
      </c>
      <c r="M6" s="74">
        <f>IF(ISERROR(TblImps[[#This Row],[algorithm]]),0,TblImps[[#This Row],[algorithm]]*1)</f>
        <v>0</v>
      </c>
      <c r="N6" s="113">
        <f ca="1">TblImps[[#This Row],[Land]]</f>
        <v>250</v>
      </c>
      <c r="O6" s="375" t="s">
        <v>4</v>
      </c>
      <c r="P6" s="376"/>
      <c r="Q6" s="375" t="s">
        <v>216</v>
      </c>
      <c r="R6" s="375" t="s">
        <v>7</v>
      </c>
      <c r="S6" s="376"/>
      <c r="T6" s="375" t="s">
        <v>216</v>
      </c>
      <c r="U6" s="375" t="s">
        <v>3</v>
      </c>
      <c r="V6" s="376"/>
      <c r="W6" s="375" t="s">
        <v>216</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44680.833333333328</v>
      </c>
      <c r="BZ6" s="387">
        <f ca="1">OFFSET(TblImps[[#This Row],[Servertime]],-1,0)+1/24</f>
        <v>44681.083333333328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44680.874999999993</v>
      </c>
      <c r="M7" s="74">
        <f>IF(ISERROR(TblImps[[#This Row],[algorithm]]),0,TblImps[[#This Row],[algorithm]]*1)</f>
        <v>0</v>
      </c>
      <c r="N7" s="113">
        <f ca="1">TblImps[[#This Row],[Land]]</f>
        <v>250</v>
      </c>
      <c r="O7" s="375" t="s">
        <v>4</v>
      </c>
      <c r="P7" s="376"/>
      <c r="Q7" s="375" t="s">
        <v>216</v>
      </c>
      <c r="R7" s="375" t="s">
        <v>7</v>
      </c>
      <c r="S7" s="376"/>
      <c r="T7" s="375" t="s">
        <v>216</v>
      </c>
      <c r="U7" s="375" t="s">
        <v>3</v>
      </c>
      <c r="V7" s="376"/>
      <c r="W7" s="375" t="s">
        <v>216</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44680.874999999993</v>
      </c>
      <c r="BZ7" s="387">
        <f ca="1">OFFSET(TblImps[[#This Row],[Servertime]],-1,0)+1/24</f>
        <v>44681.124999999993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44680.916666666657</v>
      </c>
      <c r="M8" s="74">
        <f>IF(ISERROR(TblImps[[#This Row],[algorithm]]),0,TblImps[[#This Row],[algorithm]]*1)</f>
        <v>0</v>
      </c>
      <c r="N8" s="113">
        <f ca="1">TblImps[[#This Row],[Land]]</f>
        <v>250</v>
      </c>
      <c r="O8" s="375" t="s">
        <v>4</v>
      </c>
      <c r="P8" s="376"/>
      <c r="Q8" s="375" t="s">
        <v>216</v>
      </c>
      <c r="R8" s="375" t="s">
        <v>7</v>
      </c>
      <c r="S8" s="376"/>
      <c r="T8" s="375" t="s">
        <v>216</v>
      </c>
      <c r="U8" s="375" t="s">
        <v>3</v>
      </c>
      <c r="V8" s="376"/>
      <c r="W8" s="375" t="s">
        <v>216</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44680.916666666657</v>
      </c>
      <c r="BZ8" s="387">
        <f ca="1">OFFSET(TblImps[[#This Row],[Servertime]],-1,0)+1/24</f>
        <v>44681.166666666657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44680.958333333321</v>
      </c>
      <c r="M9" s="74">
        <f>IF(ISERROR(TblImps[[#This Row],[algorithm]]),0,TblImps[[#This Row],[algorithm]]*1)</f>
        <v>0</v>
      </c>
      <c r="N9" s="113">
        <f ca="1">TblImps[[#This Row],[Land]]</f>
        <v>250</v>
      </c>
      <c r="O9" s="375" t="s">
        <v>4</v>
      </c>
      <c r="P9" s="376"/>
      <c r="Q9" s="375" t="s">
        <v>216</v>
      </c>
      <c r="R9" s="375" t="s">
        <v>7</v>
      </c>
      <c r="S9" s="376"/>
      <c r="T9" s="375" t="s">
        <v>216</v>
      </c>
      <c r="U9" s="375" t="s">
        <v>3</v>
      </c>
      <c r="V9" s="376"/>
      <c r="W9" s="375" t="s">
        <v>216</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44680.958333333321</v>
      </c>
      <c r="BZ9" s="387">
        <f ca="1">OFFSET(TblImps[[#This Row],[Servertime]],-1,0)+1/24</f>
        <v>44681.208333333321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44680.999999999985</v>
      </c>
      <c r="M10" s="74">
        <f>IF(ISERROR(TblImps[[#This Row],[algorithm]]),0,TblImps[[#This Row],[algorithm]]*1)</f>
        <v>0</v>
      </c>
      <c r="N10" s="113">
        <f ca="1">TblImps[[#This Row],[Land]]</f>
        <v>250</v>
      </c>
      <c r="O10" s="375" t="s">
        <v>4</v>
      </c>
      <c r="P10" s="376"/>
      <c r="Q10" s="375" t="s">
        <v>216</v>
      </c>
      <c r="R10" s="375" t="s">
        <v>7</v>
      </c>
      <c r="S10" s="376"/>
      <c r="T10" s="375" t="s">
        <v>216</v>
      </c>
      <c r="U10" s="375" t="s">
        <v>3</v>
      </c>
      <c r="V10" s="376"/>
      <c r="W10" s="375" t="s">
        <v>216</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44680.999999999985</v>
      </c>
      <c r="BZ10" s="387">
        <f ca="1">OFFSET(TblImps[[#This Row],[Servertime]],-1,0)+1/24</f>
        <v>44681.249999999985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44681.04166666665</v>
      </c>
      <c r="M11" s="74">
        <f>IF(ISERROR(TblImps[[#This Row],[algorithm]]),0,TblImps[[#This Row],[algorithm]]*1)</f>
        <v>0</v>
      </c>
      <c r="N11" s="113">
        <f ca="1">TblImps[[#This Row],[Land]]</f>
        <v>250</v>
      </c>
      <c r="O11" s="375" t="s">
        <v>4</v>
      </c>
      <c r="P11" s="376"/>
      <c r="Q11" s="375" t="s">
        <v>216</v>
      </c>
      <c r="R11" s="375" t="s">
        <v>7</v>
      </c>
      <c r="S11" s="376"/>
      <c r="T11" s="375" t="s">
        <v>216</v>
      </c>
      <c r="U11" s="375" t="s">
        <v>3</v>
      </c>
      <c r="V11" s="376"/>
      <c r="W11" s="375" t="s">
        <v>216</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44681.04166666665</v>
      </c>
      <c r="BZ11" s="387">
        <f ca="1">OFFSET(TblImps[[#This Row],[Servertime]],-1,0)+1/24</f>
        <v>44681.29166666665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44681.083333333314</v>
      </c>
      <c r="M12" s="74">
        <f>IF(ISERROR(TblImps[[#This Row],[algorithm]]),0,TblImps[[#This Row],[algorithm]]*1)</f>
        <v>0</v>
      </c>
      <c r="N12" s="113">
        <f ca="1">TblImps[[#This Row],[Land]]</f>
        <v>250</v>
      </c>
      <c r="O12" s="375" t="s">
        <v>4</v>
      </c>
      <c r="P12" s="376"/>
      <c r="Q12" s="375" t="s">
        <v>216</v>
      </c>
      <c r="R12" s="375" t="s">
        <v>7</v>
      </c>
      <c r="S12" s="376"/>
      <c r="T12" s="375" t="s">
        <v>216</v>
      </c>
      <c r="U12" s="375" t="s">
        <v>3</v>
      </c>
      <c r="V12" s="376"/>
      <c r="W12" s="375" t="s">
        <v>216</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44681.083333333314</v>
      </c>
      <c r="BZ12" s="387">
        <f ca="1">OFFSET(TblImps[[#This Row],[Servertime]],-1,0)+1/24</f>
        <v>44681.333333333314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44681.124999999978</v>
      </c>
      <c r="M13" s="74">
        <f>IF(ISERROR(TblImps[[#This Row],[algorithm]]),0,TblImps[[#This Row],[algorithm]]*1)</f>
        <v>0</v>
      </c>
      <c r="N13" s="113">
        <f ca="1">TblImps[[#This Row],[Land]]</f>
        <v>250</v>
      </c>
      <c r="O13" s="375" t="s">
        <v>4</v>
      </c>
      <c r="P13" s="376"/>
      <c r="Q13" s="375" t="s">
        <v>216</v>
      </c>
      <c r="R13" s="375" t="s">
        <v>7</v>
      </c>
      <c r="S13" s="376"/>
      <c r="T13" s="375" t="s">
        <v>216</v>
      </c>
      <c r="U13" s="375" t="s">
        <v>3</v>
      </c>
      <c r="V13" s="376"/>
      <c r="W13" s="375" t="s">
        <v>216</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44681.124999999978</v>
      </c>
      <c r="BZ13" s="387">
        <f ca="1">OFFSET(TblImps[[#This Row],[Servertime]],-1,0)+1/24</f>
        <v>44681.374999999978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44681.166666666642</v>
      </c>
      <c r="M14" s="74">
        <f>IF(ISERROR(TblImps[[#This Row],[algorithm]]),0,TblImps[[#This Row],[algorithm]]*1)</f>
        <v>0</v>
      </c>
      <c r="N14" s="113">
        <f ca="1">TblImps[[#This Row],[Land]]</f>
        <v>250</v>
      </c>
      <c r="O14" s="375" t="s">
        <v>4</v>
      </c>
      <c r="P14" s="376"/>
      <c r="Q14" s="375" t="s">
        <v>216</v>
      </c>
      <c r="R14" s="375" t="s">
        <v>7</v>
      </c>
      <c r="S14" s="376"/>
      <c r="T14" s="375" t="s">
        <v>216</v>
      </c>
      <c r="U14" s="375" t="s">
        <v>3</v>
      </c>
      <c r="V14" s="376"/>
      <c r="W14" s="375" t="s">
        <v>216</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44681.166666666642</v>
      </c>
      <c r="BZ14" s="387">
        <f ca="1">OFFSET(TblImps[[#This Row],[Servertime]],-1,0)+1/24</f>
        <v>44681.416666666642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44681.208333333307</v>
      </c>
      <c r="M15" s="74">
        <f>IF(ISERROR(TblImps[[#This Row],[algorithm]]),0,TblImps[[#This Row],[algorithm]]*1)</f>
        <v>0</v>
      </c>
      <c r="N15" s="113">
        <f ca="1">TblImps[[#This Row],[Land]]</f>
        <v>250</v>
      </c>
      <c r="O15" s="375" t="s">
        <v>4</v>
      </c>
      <c r="P15" s="376"/>
      <c r="Q15" s="375" t="s">
        <v>216</v>
      </c>
      <c r="R15" s="375" t="s">
        <v>7</v>
      </c>
      <c r="S15" s="376"/>
      <c r="T15" s="375" t="s">
        <v>216</v>
      </c>
      <c r="U15" s="375" t="s">
        <v>3</v>
      </c>
      <c r="V15" s="376"/>
      <c r="W15" s="375" t="s">
        <v>216</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44681.208333333307</v>
      </c>
      <c r="BZ15" s="387">
        <f ca="1">OFFSET(TblImps[[#This Row],[Servertime]],-1,0)+1/24</f>
        <v>44681.458333333307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44681.249999999971</v>
      </c>
      <c r="M16" s="74">
        <f>IF(ISERROR(TblImps[[#This Row],[algorithm]]),0,TblImps[[#This Row],[algorithm]]*1)</f>
        <v>0</v>
      </c>
      <c r="N16" s="113">
        <f ca="1">TblImps[[#This Row],[Land]]</f>
        <v>250</v>
      </c>
      <c r="O16" s="375" t="s">
        <v>4</v>
      </c>
      <c r="P16" s="376"/>
      <c r="Q16" s="375" t="s">
        <v>216</v>
      </c>
      <c r="R16" s="375" t="s">
        <v>7</v>
      </c>
      <c r="S16" s="376"/>
      <c r="T16" s="375" t="s">
        <v>216</v>
      </c>
      <c r="U16" s="375" t="s">
        <v>3</v>
      </c>
      <c r="V16" s="376"/>
      <c r="W16" s="375" t="s">
        <v>216</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44681.249999999971</v>
      </c>
      <c r="BZ16" s="387">
        <f ca="1">OFFSET(TblImps[[#This Row],[Servertime]],-1,0)+1/24</f>
        <v>44681.499999999971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44681.291666666635</v>
      </c>
      <c r="M17" s="74">
        <f>IF(ISERROR(TblImps[[#This Row],[algorithm]]),0,TblImps[[#This Row],[algorithm]]*1)</f>
        <v>0</v>
      </c>
      <c r="N17" s="113">
        <f ca="1">TblImps[[#This Row],[Land]]</f>
        <v>250</v>
      </c>
      <c r="O17" s="375" t="s">
        <v>4</v>
      </c>
      <c r="P17" s="376"/>
      <c r="Q17" s="375" t="s">
        <v>216</v>
      </c>
      <c r="R17" s="375" t="s">
        <v>7</v>
      </c>
      <c r="S17" s="376"/>
      <c r="T17" s="375" t="s">
        <v>216</v>
      </c>
      <c r="U17" s="375" t="s">
        <v>3</v>
      </c>
      <c r="V17" s="376"/>
      <c r="W17" s="375" t="s">
        <v>216</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44681.291666666635</v>
      </c>
      <c r="BZ17" s="387">
        <f ca="1">OFFSET(TblImps[[#This Row],[Servertime]],-1,0)+1/24</f>
        <v>44681.541666666635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44681.333333333299</v>
      </c>
      <c r="M18" s="74">
        <f>IF(ISERROR(TblImps[[#This Row],[algorithm]]),0,TblImps[[#This Row],[algorithm]]*1)</f>
        <v>0</v>
      </c>
      <c r="N18" s="113">
        <f ca="1">TblImps[[#This Row],[Land]]</f>
        <v>250</v>
      </c>
      <c r="O18" s="375" t="s">
        <v>4</v>
      </c>
      <c r="P18" s="376"/>
      <c r="Q18" s="375" t="s">
        <v>216</v>
      </c>
      <c r="R18" s="375" t="s">
        <v>7</v>
      </c>
      <c r="S18" s="376"/>
      <c r="T18" s="375" t="s">
        <v>216</v>
      </c>
      <c r="U18" s="375" t="s">
        <v>3</v>
      </c>
      <c r="V18" s="376"/>
      <c r="W18" s="375" t="s">
        <v>216</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44681.333333333299</v>
      </c>
      <c r="BZ18" s="387">
        <f ca="1">OFFSET(TblImps[[#This Row],[Servertime]],-1,0)+1/24</f>
        <v>44681.583333333299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44681.374999999964</v>
      </c>
      <c r="M19" s="74">
        <f>IF(ISERROR(TblImps[[#This Row],[algorithm]]),0,TblImps[[#This Row],[algorithm]]*1)</f>
        <v>0</v>
      </c>
      <c r="N19" s="113">
        <f ca="1">TblImps[[#This Row],[Land]]</f>
        <v>250</v>
      </c>
      <c r="O19" s="375" t="s">
        <v>4</v>
      </c>
      <c r="P19" s="376"/>
      <c r="Q19" s="375" t="s">
        <v>216</v>
      </c>
      <c r="R19" s="375" t="s">
        <v>7</v>
      </c>
      <c r="S19" s="376"/>
      <c r="T19" s="375" t="s">
        <v>216</v>
      </c>
      <c r="U19" s="375" t="s">
        <v>3</v>
      </c>
      <c r="V19" s="376"/>
      <c r="W19" s="375" t="s">
        <v>216</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44681.374999999964</v>
      </c>
      <c r="BZ19" s="387">
        <f ca="1">OFFSET(TblImps[[#This Row],[Servertime]],-1,0)+1/24</f>
        <v>44681.624999999964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44681.416666666628</v>
      </c>
      <c r="M20" s="74">
        <f>IF(ISERROR(TblImps[[#This Row],[algorithm]]),0,TblImps[[#This Row],[algorithm]]*1)</f>
        <v>0</v>
      </c>
      <c r="N20" s="113">
        <f ca="1">TblImps[[#This Row],[Land]]</f>
        <v>250</v>
      </c>
      <c r="O20" s="375" t="s">
        <v>4</v>
      </c>
      <c r="P20" s="376"/>
      <c r="Q20" s="375" t="s">
        <v>216</v>
      </c>
      <c r="R20" s="375" t="s">
        <v>7</v>
      </c>
      <c r="S20" s="376"/>
      <c r="T20" s="375" t="s">
        <v>216</v>
      </c>
      <c r="U20" s="375" t="s">
        <v>3</v>
      </c>
      <c r="V20" s="376"/>
      <c r="W20" s="375" t="s">
        <v>216</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44681.416666666628</v>
      </c>
      <c r="BZ20" s="387">
        <f ca="1">OFFSET(TblImps[[#This Row],[Servertime]],-1,0)+1/24</f>
        <v>44681.666666666628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44681.458333333292</v>
      </c>
      <c r="M21" s="74">
        <f>IF(ISERROR(TblImps[[#This Row],[algorithm]]),0,TblImps[[#This Row],[algorithm]]*1)</f>
        <v>0</v>
      </c>
      <c r="N21" s="113">
        <f ca="1">TblImps[[#This Row],[Land]]</f>
        <v>250</v>
      </c>
      <c r="O21" s="375" t="s">
        <v>4</v>
      </c>
      <c r="P21" s="376"/>
      <c r="Q21" s="375" t="s">
        <v>216</v>
      </c>
      <c r="R21" s="375" t="s">
        <v>7</v>
      </c>
      <c r="S21" s="376"/>
      <c r="T21" s="375" t="s">
        <v>216</v>
      </c>
      <c r="U21" s="375" t="s">
        <v>3</v>
      </c>
      <c r="V21" s="376"/>
      <c r="W21" s="375" t="s">
        <v>216</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44681.458333333292</v>
      </c>
      <c r="BZ21" s="387">
        <f ca="1">OFFSET(TblImps[[#This Row],[Servertime]],-1,0)+1/24</f>
        <v>44681.708333333292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44681.499999999956</v>
      </c>
      <c r="M22" s="74">
        <f>IF(ISERROR(TblImps[[#This Row],[algorithm]]),0,TblImps[[#This Row],[algorithm]]*1)</f>
        <v>0</v>
      </c>
      <c r="N22" s="113">
        <f ca="1">TblImps[[#This Row],[Land]]</f>
        <v>250</v>
      </c>
      <c r="O22" s="375" t="s">
        <v>4</v>
      </c>
      <c r="P22" s="376"/>
      <c r="Q22" s="375" t="s">
        <v>216</v>
      </c>
      <c r="R22" s="375" t="s">
        <v>7</v>
      </c>
      <c r="S22" s="376"/>
      <c r="T22" s="375" t="s">
        <v>216</v>
      </c>
      <c r="U22" s="375" t="s">
        <v>3</v>
      </c>
      <c r="V22" s="376"/>
      <c r="W22" s="375" t="s">
        <v>216</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44681.499999999956</v>
      </c>
      <c r="BZ22" s="387">
        <f ca="1">OFFSET(TblImps[[#This Row],[Servertime]],-1,0)+1/24</f>
        <v>44681.749999999956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44681.541666666621</v>
      </c>
      <c r="M23" s="74">
        <f>IF(ISERROR(TblImps[[#This Row],[algorithm]]),0,TblImps[[#This Row],[algorithm]]*1)</f>
        <v>0</v>
      </c>
      <c r="N23" s="113">
        <f ca="1">TblImps[[#This Row],[Land]]</f>
        <v>250</v>
      </c>
      <c r="O23" s="375" t="s">
        <v>4</v>
      </c>
      <c r="P23" s="376"/>
      <c r="Q23" s="375" t="s">
        <v>216</v>
      </c>
      <c r="R23" s="375" t="s">
        <v>7</v>
      </c>
      <c r="S23" s="376"/>
      <c r="T23" s="375" t="s">
        <v>216</v>
      </c>
      <c r="U23" s="375" t="s">
        <v>3</v>
      </c>
      <c r="V23" s="376"/>
      <c r="W23" s="375" t="s">
        <v>216</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44681.541666666621</v>
      </c>
      <c r="BZ23" s="387">
        <f ca="1">OFFSET(TblImps[[#This Row],[Servertime]],-1,0)+1/24</f>
        <v>44681.791666666621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44681.583333333285</v>
      </c>
      <c r="M24" s="74">
        <f>IF(ISERROR(TblImps[[#This Row],[algorithm]]),0,TblImps[[#This Row],[algorithm]]*1)</f>
        <v>0</v>
      </c>
      <c r="N24" s="113">
        <f ca="1">TblImps[[#This Row],[Land]]</f>
        <v>250</v>
      </c>
      <c r="O24" s="375" t="s">
        <v>4</v>
      </c>
      <c r="P24" s="376"/>
      <c r="Q24" s="375" t="s">
        <v>216</v>
      </c>
      <c r="R24" s="375" t="s">
        <v>7</v>
      </c>
      <c r="S24" s="376"/>
      <c r="T24" s="375" t="s">
        <v>216</v>
      </c>
      <c r="U24" s="375" t="s">
        <v>3</v>
      </c>
      <c r="V24" s="376"/>
      <c r="W24" s="375" t="s">
        <v>216</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44681.583333333285</v>
      </c>
      <c r="BZ24" s="387">
        <f ca="1">OFFSET(TblImps[[#This Row],[Servertime]],-1,0)+1/24</f>
        <v>44681.833333333285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44681.624999999949</v>
      </c>
      <c r="M25" s="74">
        <f>IF(ISERROR(TblImps[[#This Row],[algorithm]]),0,TblImps[[#This Row],[algorithm]]*1)</f>
        <v>0</v>
      </c>
      <c r="N25" s="113">
        <f ca="1">TblImps[[#This Row],[Land]]</f>
        <v>250</v>
      </c>
      <c r="O25" s="375" t="s">
        <v>4</v>
      </c>
      <c r="P25" s="376"/>
      <c r="Q25" s="375" t="s">
        <v>216</v>
      </c>
      <c r="R25" s="375" t="s">
        <v>7</v>
      </c>
      <c r="S25" s="376"/>
      <c r="T25" s="375" t="s">
        <v>216</v>
      </c>
      <c r="U25" s="375" t="s">
        <v>3</v>
      </c>
      <c r="V25" s="376"/>
      <c r="W25" s="375" t="s">
        <v>216</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44681.624999999949</v>
      </c>
      <c r="BZ25" s="387">
        <f ca="1">OFFSET(TblImps[[#This Row],[Servertime]],-1,0)+1/24</f>
        <v>44681.874999999949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44681.666666666613</v>
      </c>
      <c r="M26" s="74">
        <f>IF(ISERROR(TblImps[[#This Row],[algorithm]]),0,TblImps[[#This Row],[algorithm]]*1)</f>
        <v>0</v>
      </c>
      <c r="N26" s="113">
        <f ca="1">TblImps[[#This Row],[Land]]</f>
        <v>250</v>
      </c>
      <c r="O26" s="375" t="s">
        <v>4</v>
      </c>
      <c r="P26" s="376"/>
      <c r="Q26" s="375" t="s">
        <v>216</v>
      </c>
      <c r="R26" s="375" t="s">
        <v>7</v>
      </c>
      <c r="S26" s="376"/>
      <c r="T26" s="375" t="s">
        <v>216</v>
      </c>
      <c r="U26" s="375" t="s">
        <v>3</v>
      </c>
      <c r="V26" s="376"/>
      <c r="W26" s="375" t="s">
        <v>216</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44681.666666666613</v>
      </c>
      <c r="BZ26" s="387">
        <f ca="1">OFFSET(TblImps[[#This Row],[Servertime]],-1,0)+1/24</f>
        <v>44681.916666666613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44681.708333333278</v>
      </c>
      <c r="M27" s="74">
        <f>IF(ISERROR(TblImps[[#This Row],[algorithm]]),0,TblImps[[#This Row],[algorithm]]*1)</f>
        <v>0</v>
      </c>
      <c r="N27" s="113">
        <f ca="1">TblImps[[#This Row],[Land]]</f>
        <v>250</v>
      </c>
      <c r="O27" s="375" t="s">
        <v>4</v>
      </c>
      <c r="P27" s="376"/>
      <c r="Q27" s="375" t="s">
        <v>216</v>
      </c>
      <c r="R27" s="375" t="s">
        <v>7</v>
      </c>
      <c r="S27" s="376"/>
      <c r="T27" s="375" t="s">
        <v>216</v>
      </c>
      <c r="U27" s="375" t="s">
        <v>3</v>
      </c>
      <c r="V27" s="376"/>
      <c r="W27" s="375" t="s">
        <v>216</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44681.708333333278</v>
      </c>
      <c r="BZ27" s="387">
        <f ca="1">OFFSET(TblImps[[#This Row],[Servertime]],-1,0)+1/24</f>
        <v>44681.958333333278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44681.749999999942</v>
      </c>
      <c r="M28" s="74">
        <f>IF(ISERROR(TblImps[[#This Row],[algorithm]]),0,TblImps[[#This Row],[algorithm]]*1)</f>
        <v>0</v>
      </c>
      <c r="N28" s="113">
        <f ca="1">TblImps[[#This Row],[Land]]</f>
        <v>250</v>
      </c>
      <c r="O28" s="375" t="s">
        <v>4</v>
      </c>
      <c r="P28" s="376"/>
      <c r="Q28" s="375" t="s">
        <v>216</v>
      </c>
      <c r="R28" s="375" t="s">
        <v>7</v>
      </c>
      <c r="S28" s="376"/>
      <c r="T28" s="375" t="s">
        <v>216</v>
      </c>
      <c r="U28" s="375" t="s">
        <v>3</v>
      </c>
      <c r="V28" s="376"/>
      <c r="W28" s="375" t="s">
        <v>216</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44681.749999999942</v>
      </c>
      <c r="BZ28" s="387">
        <f ca="1">OFFSET(TblImps[[#This Row],[Servertime]],-1,0)+1/24</f>
        <v>44681.999999999942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44681.791666666606</v>
      </c>
      <c r="M29" s="74">
        <f>IF(ISERROR(TblImps[[#This Row],[algorithm]]),0,TblImps[[#This Row],[algorithm]]*1)</f>
        <v>0</v>
      </c>
      <c r="N29" s="113">
        <f ca="1">TblImps[[#This Row],[Land]]</f>
        <v>250</v>
      </c>
      <c r="O29" s="375" t="s">
        <v>4</v>
      </c>
      <c r="P29" s="376"/>
      <c r="Q29" s="375" t="s">
        <v>216</v>
      </c>
      <c r="R29" s="375" t="s">
        <v>7</v>
      </c>
      <c r="S29" s="376"/>
      <c r="T29" s="375" t="s">
        <v>216</v>
      </c>
      <c r="U29" s="375" t="s">
        <v>3</v>
      </c>
      <c r="V29" s="376"/>
      <c r="W29" s="375" t="s">
        <v>216</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44681.791666666606</v>
      </c>
      <c r="BZ29" s="387">
        <f ca="1">OFFSET(TblImps[[#This Row],[Servertime]],-1,0)+1/24</f>
        <v>44682.041666666606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44681.83333333327</v>
      </c>
      <c r="M30" s="74">
        <f>IF(ISERROR(TblImps[[#This Row],[algorithm]]),0,TblImps[[#This Row],[algorithm]]*1)</f>
        <v>0</v>
      </c>
      <c r="N30" s="113">
        <f ca="1">TblImps[[#This Row],[Land]]</f>
        <v>250</v>
      </c>
      <c r="O30" s="375" t="s">
        <v>4</v>
      </c>
      <c r="P30" s="376"/>
      <c r="Q30" s="375" t="s">
        <v>216</v>
      </c>
      <c r="R30" s="375" t="s">
        <v>7</v>
      </c>
      <c r="S30" s="376"/>
      <c r="T30" s="375" t="s">
        <v>216</v>
      </c>
      <c r="U30" s="375" t="s">
        <v>3</v>
      </c>
      <c r="V30" s="376"/>
      <c r="W30" s="375" t="s">
        <v>216</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44681.83333333327</v>
      </c>
      <c r="BZ30" s="387">
        <f ca="1">OFFSET(TblImps[[#This Row],[Servertime]],-1,0)+1/24</f>
        <v>44682.08333333327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44681.874999999935</v>
      </c>
      <c r="M31" s="74">
        <f>IF(ISERROR(TblImps[[#This Row],[algorithm]]),0,TblImps[[#This Row],[algorithm]]*1)</f>
        <v>0</v>
      </c>
      <c r="N31" s="113">
        <f ca="1">TblImps[[#This Row],[Land]]</f>
        <v>250</v>
      </c>
      <c r="O31" s="375" t="s">
        <v>4</v>
      </c>
      <c r="P31" s="376"/>
      <c r="Q31" s="375" t="s">
        <v>216</v>
      </c>
      <c r="R31" s="375" t="s">
        <v>7</v>
      </c>
      <c r="S31" s="376"/>
      <c r="T31" s="375" t="s">
        <v>216</v>
      </c>
      <c r="U31" s="375" t="s">
        <v>3</v>
      </c>
      <c r="V31" s="376"/>
      <c r="W31" s="375" t="s">
        <v>216</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44681.874999999935</v>
      </c>
      <c r="BZ31" s="387">
        <f ca="1">OFFSET(TblImps[[#This Row],[Servertime]],-1,0)+1/24</f>
        <v>44682.124999999935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44681.916666666599</v>
      </c>
      <c r="M32" s="74">
        <f>IF(ISERROR(TblImps[[#This Row],[algorithm]]),0,TblImps[[#This Row],[algorithm]]*1)</f>
        <v>0</v>
      </c>
      <c r="N32" s="113">
        <f ca="1">TblImps[[#This Row],[Land]]</f>
        <v>250</v>
      </c>
      <c r="O32" s="375" t="s">
        <v>4</v>
      </c>
      <c r="P32" s="376"/>
      <c r="Q32" s="375" t="s">
        <v>216</v>
      </c>
      <c r="R32" s="375" t="s">
        <v>7</v>
      </c>
      <c r="S32" s="376"/>
      <c r="T32" s="375" t="s">
        <v>216</v>
      </c>
      <c r="U32" s="375" t="s">
        <v>3</v>
      </c>
      <c r="V32" s="376"/>
      <c r="W32" s="375" t="s">
        <v>216</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44681.916666666599</v>
      </c>
      <c r="BZ32" s="387">
        <f ca="1">OFFSET(TblImps[[#This Row],[Servertime]],-1,0)+1/24</f>
        <v>44682.166666666599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44681.958333333263</v>
      </c>
      <c r="M33" s="74">
        <f>IF(ISERROR(TblImps[[#This Row],[algorithm]]),0,TblImps[[#This Row],[algorithm]]*1)</f>
        <v>0</v>
      </c>
      <c r="N33" s="113">
        <f ca="1">TblImps[[#This Row],[Land]]</f>
        <v>250</v>
      </c>
      <c r="O33" s="375" t="s">
        <v>4</v>
      </c>
      <c r="P33" s="376"/>
      <c r="Q33" s="375" t="s">
        <v>216</v>
      </c>
      <c r="R33" s="375" t="s">
        <v>7</v>
      </c>
      <c r="S33" s="376"/>
      <c r="T33" s="375" t="s">
        <v>216</v>
      </c>
      <c r="U33" s="375" t="s">
        <v>3</v>
      </c>
      <c r="V33" s="376"/>
      <c r="W33" s="375" t="s">
        <v>216</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44681.958333333263</v>
      </c>
      <c r="BZ33" s="387">
        <f ca="1">OFFSET(TblImps[[#This Row],[Servertime]],-1,0)+1/24</f>
        <v>44682.208333333263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44681.999999999927</v>
      </c>
      <c r="M34" s="74">
        <f>IF(ISERROR(TblImps[[#This Row],[algorithm]]),0,TblImps[[#This Row],[algorithm]]*1)</f>
        <v>0</v>
      </c>
      <c r="N34" s="113">
        <f ca="1">TblImps[[#This Row],[Land]]</f>
        <v>250</v>
      </c>
      <c r="O34" s="375" t="s">
        <v>4</v>
      </c>
      <c r="P34" s="376"/>
      <c r="Q34" s="375" t="s">
        <v>216</v>
      </c>
      <c r="R34" s="375" t="s">
        <v>7</v>
      </c>
      <c r="S34" s="376"/>
      <c r="T34" s="375" t="s">
        <v>216</v>
      </c>
      <c r="U34" s="375" t="s">
        <v>3</v>
      </c>
      <c r="V34" s="376"/>
      <c r="W34" s="375" t="s">
        <v>216</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44681.999999999927</v>
      </c>
      <c r="BZ34" s="387">
        <f ca="1">OFFSET(TblImps[[#This Row],[Servertime]],-1,0)+1/24</f>
        <v>44682.249999999927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44682.041666666591</v>
      </c>
      <c r="M35" s="74">
        <f>IF(ISERROR(TblImps[[#This Row],[algorithm]]),0,TblImps[[#This Row],[algorithm]]*1)</f>
        <v>0</v>
      </c>
      <c r="N35" s="113">
        <f ca="1">TblImps[[#This Row],[Land]]</f>
        <v>250</v>
      </c>
      <c r="O35" s="375" t="s">
        <v>4</v>
      </c>
      <c r="P35" s="376"/>
      <c r="Q35" s="375" t="s">
        <v>216</v>
      </c>
      <c r="R35" s="375" t="s">
        <v>7</v>
      </c>
      <c r="S35" s="376"/>
      <c r="T35" s="375" t="s">
        <v>216</v>
      </c>
      <c r="U35" s="375" t="s">
        <v>3</v>
      </c>
      <c r="V35" s="376"/>
      <c r="W35" s="375" t="s">
        <v>216</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44682.041666666591</v>
      </c>
      <c r="BZ35" s="387">
        <f ca="1">OFFSET(TblImps[[#This Row],[Servertime]],-1,0)+1/24</f>
        <v>44682.291666666591</v>
      </c>
      <c r="CA35" s="141"/>
      <c r="CB35" s="385"/>
      <c r="CC35" s="385"/>
      <c r="CD35" s="59" t="s">
        <v>214</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44682.083333333256</v>
      </c>
      <c r="M36" s="74">
        <f>IF(ISERROR(TblImps[[#This Row],[algorithm]]),0,TblImps[[#This Row],[algorithm]]*1)</f>
        <v>0</v>
      </c>
      <c r="N36" s="113">
        <f ca="1">TblImps[[#This Row],[Land]]</f>
        <v>250</v>
      </c>
      <c r="O36" s="375" t="s">
        <v>4</v>
      </c>
      <c r="P36" s="376"/>
      <c r="Q36" s="375" t="s">
        <v>216</v>
      </c>
      <c r="R36" s="375" t="s">
        <v>7</v>
      </c>
      <c r="S36" s="376"/>
      <c r="T36" s="375" t="s">
        <v>216</v>
      </c>
      <c r="U36" s="375" t="s">
        <v>3</v>
      </c>
      <c r="V36" s="376"/>
      <c r="W36" s="375" t="s">
        <v>216</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44682.083333333256</v>
      </c>
      <c r="BZ36" s="387">
        <f ca="1">OFFSET(TblImps[[#This Row],[Servertime]],-1,0)+1/24</f>
        <v>44682.333333333256</v>
      </c>
      <c r="CA36" s="141"/>
      <c r="CB36" s="385"/>
      <c r="CC36" s="385"/>
      <c r="CD36" s="59" t="s">
        <v>216</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44682.12499999992</v>
      </c>
      <c r="M37" s="74">
        <f>IF(ISERROR(TblImps[[#This Row],[algorithm]]),0,TblImps[[#This Row],[algorithm]]*1)</f>
        <v>0</v>
      </c>
      <c r="N37" s="113">
        <f ca="1">TblImps[[#This Row],[Land]]</f>
        <v>250</v>
      </c>
      <c r="O37" s="375" t="s">
        <v>4</v>
      </c>
      <c r="P37" s="376"/>
      <c r="Q37" s="375" t="s">
        <v>216</v>
      </c>
      <c r="R37" s="375" t="s">
        <v>7</v>
      </c>
      <c r="S37" s="376"/>
      <c r="T37" s="375" t="s">
        <v>216</v>
      </c>
      <c r="U37" s="375" t="s">
        <v>3</v>
      </c>
      <c r="V37" s="376"/>
      <c r="W37" s="375" t="s">
        <v>216</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44682.12499999992</v>
      </c>
      <c r="BZ37" s="387">
        <f ca="1">OFFSET(TblImps[[#This Row],[Servertime]],-1,0)+1/24</f>
        <v>44682.37499999992</v>
      </c>
      <c r="CA37" s="141"/>
      <c r="CB37" s="385"/>
      <c r="CC37" s="385"/>
      <c r="CD37" s="59" t="s">
        <v>217</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44682.166666666584</v>
      </c>
      <c r="M38" s="74">
        <f>IF(ISERROR(TblImps[[#This Row],[algorithm]]),0,TblImps[[#This Row],[algorithm]]*1)</f>
        <v>0</v>
      </c>
      <c r="N38" s="113">
        <f ca="1">TblImps[[#This Row],[Land]]</f>
        <v>250</v>
      </c>
      <c r="O38" s="375" t="s">
        <v>4</v>
      </c>
      <c r="P38" s="376"/>
      <c r="Q38" s="375" t="s">
        <v>216</v>
      </c>
      <c r="R38" s="375" t="s">
        <v>7</v>
      </c>
      <c r="S38" s="376"/>
      <c r="T38" s="375" t="s">
        <v>216</v>
      </c>
      <c r="U38" s="375" t="s">
        <v>3</v>
      </c>
      <c r="V38" s="376"/>
      <c r="W38" s="375" t="s">
        <v>216</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44682.166666666584</v>
      </c>
      <c r="BZ38" s="387">
        <f ca="1">OFFSET(TblImps[[#This Row],[Servertime]],-1,0)+1/24</f>
        <v>44682.416666666584</v>
      </c>
      <c r="CA38" s="141"/>
      <c r="CB38" s="385"/>
      <c r="CC38" s="385"/>
      <c r="CD38" s="59" t="s">
        <v>218</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44682.208333333248</v>
      </c>
      <c r="M39" s="74">
        <f>IF(ISERROR(TblImps[[#This Row],[algorithm]]),0,TblImps[[#This Row],[algorithm]]*1)</f>
        <v>0</v>
      </c>
      <c r="N39" s="113">
        <f ca="1">TblImps[[#This Row],[Land]]</f>
        <v>250</v>
      </c>
      <c r="O39" s="375" t="s">
        <v>4</v>
      </c>
      <c r="P39" s="376"/>
      <c r="Q39" s="375" t="s">
        <v>216</v>
      </c>
      <c r="R39" s="375" t="s">
        <v>7</v>
      </c>
      <c r="S39" s="376"/>
      <c r="T39" s="375" t="s">
        <v>216</v>
      </c>
      <c r="U39" s="375" t="s">
        <v>3</v>
      </c>
      <c r="V39" s="376"/>
      <c r="W39" s="375" t="s">
        <v>216</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44682.208333333248</v>
      </c>
      <c r="BZ39" s="387">
        <f ca="1">OFFSET(TblImps[[#This Row],[Servertime]],-1,0)+1/24</f>
        <v>44682.458333333248</v>
      </c>
      <c r="CA39" s="141"/>
      <c r="CB39" s="385"/>
      <c r="CC39" s="385"/>
      <c r="CD39" s="49" t="s">
        <v>219</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44682.249999999913</v>
      </c>
      <c r="M40" s="74">
        <f>IF(ISERROR(TblImps[[#This Row],[algorithm]]),0,TblImps[[#This Row],[algorithm]]*1)</f>
        <v>0</v>
      </c>
      <c r="N40" s="113">
        <f ca="1">TblImps[[#This Row],[Land]]</f>
        <v>250</v>
      </c>
      <c r="O40" s="375" t="s">
        <v>4</v>
      </c>
      <c r="P40" s="376"/>
      <c r="Q40" s="375" t="s">
        <v>216</v>
      </c>
      <c r="R40" s="375" t="s">
        <v>7</v>
      </c>
      <c r="S40" s="376"/>
      <c r="T40" s="375" t="s">
        <v>216</v>
      </c>
      <c r="U40" s="375" t="s">
        <v>3</v>
      </c>
      <c r="V40" s="376"/>
      <c r="W40" s="375" t="s">
        <v>216</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44682.249999999913</v>
      </c>
      <c r="BZ40" s="387">
        <f ca="1">OFFSET(TblImps[[#This Row],[Servertime]],-1,0)+1/24</f>
        <v>44682.499999999913</v>
      </c>
      <c r="CA40" s="141"/>
      <c r="CB40" s="385"/>
      <c r="CC40" s="385"/>
      <c r="CD40" s="49" t="s">
        <v>220</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44682.291666666577</v>
      </c>
      <c r="M41" s="74">
        <f>IF(ISERROR(TblImps[[#This Row],[algorithm]]),0,TblImps[[#This Row],[algorithm]]*1)</f>
        <v>0</v>
      </c>
      <c r="N41" s="113">
        <f ca="1">TblImps[[#This Row],[Land]]</f>
        <v>250</v>
      </c>
      <c r="O41" s="375" t="s">
        <v>4</v>
      </c>
      <c r="P41" s="376"/>
      <c r="Q41" s="375" t="s">
        <v>216</v>
      </c>
      <c r="R41" s="375" t="s">
        <v>7</v>
      </c>
      <c r="S41" s="376"/>
      <c r="T41" s="375" t="s">
        <v>216</v>
      </c>
      <c r="U41" s="375" t="s">
        <v>3</v>
      </c>
      <c r="V41" s="376"/>
      <c r="W41" s="375" t="s">
        <v>216</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44682.291666666577</v>
      </c>
      <c r="BZ41" s="387">
        <f ca="1">OFFSET(TblImps[[#This Row],[Servertime]],-1,0)+1/24</f>
        <v>44682.541666666577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44682.333333333241</v>
      </c>
      <c r="M42" s="74">
        <f>IF(ISERROR(TblImps[[#This Row],[algorithm]]),0,TblImps[[#This Row],[algorithm]]*1)</f>
        <v>0</v>
      </c>
      <c r="N42" s="113">
        <f ca="1">TblImps[[#This Row],[Land]]</f>
        <v>250</v>
      </c>
      <c r="O42" s="375" t="s">
        <v>4</v>
      </c>
      <c r="P42" s="376"/>
      <c r="Q42" s="375" t="s">
        <v>216</v>
      </c>
      <c r="R42" s="375" t="s">
        <v>7</v>
      </c>
      <c r="S42" s="376"/>
      <c r="T42" s="375" t="s">
        <v>216</v>
      </c>
      <c r="U42" s="375" t="s">
        <v>3</v>
      </c>
      <c r="V42" s="376"/>
      <c r="W42" s="375" t="s">
        <v>216</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44682.333333333241</v>
      </c>
      <c r="BZ42" s="387">
        <f ca="1">OFFSET(TblImps[[#This Row],[Servertime]],-1,0)+1/24</f>
        <v>44682.583333333241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44682.374999999905</v>
      </c>
      <c r="M43" s="74">
        <f>IF(ISERROR(TblImps[[#This Row],[algorithm]]),0,TblImps[[#This Row],[algorithm]]*1)</f>
        <v>0</v>
      </c>
      <c r="N43" s="113">
        <f ca="1">TblImps[[#This Row],[Land]]</f>
        <v>250</v>
      </c>
      <c r="O43" s="375" t="s">
        <v>4</v>
      </c>
      <c r="P43" s="376"/>
      <c r="Q43" s="375" t="s">
        <v>216</v>
      </c>
      <c r="R43" s="375" t="s">
        <v>7</v>
      </c>
      <c r="S43" s="376"/>
      <c r="T43" s="375" t="s">
        <v>216</v>
      </c>
      <c r="U43" s="375" t="s">
        <v>3</v>
      </c>
      <c r="V43" s="376"/>
      <c r="W43" s="375" t="s">
        <v>216</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44682.374999999905</v>
      </c>
      <c r="BZ43" s="387">
        <f ca="1">OFFSET(TblImps[[#This Row],[Servertime]],-1,0)+1/24</f>
        <v>44682.624999999905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44682.41666666657</v>
      </c>
      <c r="M44" s="74">
        <f>IF(ISERROR(TblImps[[#This Row],[algorithm]]),0,TblImps[[#This Row],[algorithm]]*1)</f>
        <v>0</v>
      </c>
      <c r="N44" s="113">
        <f ca="1">TblImps[[#This Row],[Land]]</f>
        <v>250</v>
      </c>
      <c r="O44" s="375" t="s">
        <v>4</v>
      </c>
      <c r="P44" s="376"/>
      <c r="Q44" s="375" t="s">
        <v>216</v>
      </c>
      <c r="R44" s="375" t="s">
        <v>7</v>
      </c>
      <c r="S44" s="376"/>
      <c r="T44" s="375" t="s">
        <v>216</v>
      </c>
      <c r="U44" s="375" t="s">
        <v>3</v>
      </c>
      <c r="V44" s="376"/>
      <c r="W44" s="375" t="s">
        <v>216</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44682.41666666657</v>
      </c>
      <c r="BZ44" s="387">
        <f ca="1">OFFSET(TblImps[[#This Row],[Servertime]],-1,0)+1/24</f>
        <v>44682.66666666657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44682.458333333234</v>
      </c>
      <c r="M45" s="74">
        <f>IF(ISERROR(TblImps[[#This Row],[algorithm]]),0,TblImps[[#This Row],[algorithm]]*1)</f>
        <v>0</v>
      </c>
      <c r="N45" s="113">
        <f ca="1">TblImps[[#This Row],[Land]]</f>
        <v>250</v>
      </c>
      <c r="O45" s="375" t="s">
        <v>4</v>
      </c>
      <c r="P45" s="376"/>
      <c r="Q45" s="375" t="s">
        <v>216</v>
      </c>
      <c r="R45" s="375" t="s">
        <v>7</v>
      </c>
      <c r="S45" s="376"/>
      <c r="T45" s="375" t="s">
        <v>216</v>
      </c>
      <c r="U45" s="375" t="s">
        <v>3</v>
      </c>
      <c r="V45" s="376"/>
      <c r="W45" s="375" t="s">
        <v>216</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44682.458333333234</v>
      </c>
      <c r="BZ45" s="387">
        <f ca="1">OFFSET(TblImps[[#This Row],[Servertime]],-1,0)+1/24</f>
        <v>44682.708333333234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44682.499999999898</v>
      </c>
      <c r="M46" s="74">
        <f>IF(ISERROR(TblImps[[#This Row],[algorithm]]),0,TblImps[[#This Row],[algorithm]]*1)</f>
        <v>0</v>
      </c>
      <c r="N46" s="113">
        <f ca="1">TblImps[[#This Row],[Land]]</f>
        <v>250</v>
      </c>
      <c r="O46" s="375" t="s">
        <v>4</v>
      </c>
      <c r="P46" s="376"/>
      <c r="Q46" s="375" t="s">
        <v>216</v>
      </c>
      <c r="R46" s="375" t="s">
        <v>7</v>
      </c>
      <c r="S46" s="376"/>
      <c r="T46" s="375" t="s">
        <v>216</v>
      </c>
      <c r="U46" s="375" t="s">
        <v>3</v>
      </c>
      <c r="V46" s="376"/>
      <c r="W46" s="375" t="s">
        <v>216</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44682.499999999898</v>
      </c>
      <c r="BZ46" s="387">
        <f ca="1">OFFSET(TblImps[[#This Row],[Servertime]],-1,0)+1/24</f>
        <v>44682.749999999898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44682.541666666562</v>
      </c>
      <c r="M47" s="74">
        <f>IF(ISERROR(TblImps[[#This Row],[algorithm]]),0,TblImps[[#This Row],[algorithm]]*1)</f>
        <v>0</v>
      </c>
      <c r="N47" s="113">
        <f ca="1">TblImps[[#This Row],[Land]]</f>
        <v>250</v>
      </c>
      <c r="O47" s="375" t="s">
        <v>4</v>
      </c>
      <c r="P47" s="376"/>
      <c r="Q47" s="375" t="s">
        <v>216</v>
      </c>
      <c r="R47" s="375" t="s">
        <v>7</v>
      </c>
      <c r="S47" s="376"/>
      <c r="T47" s="375" t="s">
        <v>216</v>
      </c>
      <c r="U47" s="375" t="s">
        <v>3</v>
      </c>
      <c r="V47" s="376"/>
      <c r="W47" s="375" t="s">
        <v>216</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44682.541666666562</v>
      </c>
      <c r="BZ47" s="387">
        <f ca="1">OFFSET(TblImps[[#This Row],[Servertime]],-1,0)+1/24</f>
        <v>44682.791666666562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44682.583333333227</v>
      </c>
      <c r="M48" s="74">
        <f>IF(ISERROR(TblImps[[#This Row],[algorithm]]),0,TblImps[[#This Row],[algorithm]]*1)</f>
        <v>0</v>
      </c>
      <c r="N48" s="113">
        <f ca="1">TblImps[[#This Row],[Land]]</f>
        <v>250</v>
      </c>
      <c r="O48" s="375" t="s">
        <v>4</v>
      </c>
      <c r="P48" s="376"/>
      <c r="Q48" s="375" t="s">
        <v>216</v>
      </c>
      <c r="R48" s="375" t="s">
        <v>7</v>
      </c>
      <c r="S48" s="376"/>
      <c r="T48" s="375" t="s">
        <v>216</v>
      </c>
      <c r="U48" s="375" t="s">
        <v>3</v>
      </c>
      <c r="V48" s="376"/>
      <c r="W48" s="375" t="s">
        <v>216</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44682.583333333227</v>
      </c>
      <c r="BZ48" s="387">
        <f ca="1">OFFSET(TblImps[[#This Row],[Servertime]],-1,0)+1/24</f>
        <v>44682.833333333227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44682.624999999891</v>
      </c>
      <c r="M49" s="74">
        <f>IF(ISERROR(TblImps[[#This Row],[algorithm]]),0,TblImps[[#This Row],[algorithm]]*1)</f>
        <v>0</v>
      </c>
      <c r="N49" s="113">
        <f ca="1">TblImps[[#This Row],[Land]]</f>
        <v>250</v>
      </c>
      <c r="O49" s="375" t="s">
        <v>4</v>
      </c>
      <c r="P49" s="376"/>
      <c r="Q49" s="375" t="s">
        <v>216</v>
      </c>
      <c r="R49" s="375" t="s">
        <v>7</v>
      </c>
      <c r="S49" s="376"/>
      <c r="T49" s="375" t="s">
        <v>216</v>
      </c>
      <c r="U49" s="375" t="s">
        <v>3</v>
      </c>
      <c r="V49" s="376"/>
      <c r="W49" s="375" t="s">
        <v>216</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44682.624999999891</v>
      </c>
      <c r="BZ49" s="387">
        <f ca="1">OFFSET(TblImps[[#This Row],[Servertime]],-1,0)+1/24</f>
        <v>44682.874999999891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44682.666666666555</v>
      </c>
      <c r="M50" s="74">
        <f>IF(ISERROR(TblImps[[#This Row],[algorithm]]),0,TblImps[[#This Row],[algorithm]]*1)</f>
        <v>0</v>
      </c>
      <c r="N50" s="113">
        <f ca="1">TblImps[[#This Row],[Land]]</f>
        <v>250</v>
      </c>
      <c r="O50" s="375" t="s">
        <v>4</v>
      </c>
      <c r="P50" s="376"/>
      <c r="Q50" s="375" t="s">
        <v>216</v>
      </c>
      <c r="R50" s="375" t="s">
        <v>7</v>
      </c>
      <c r="S50" s="376"/>
      <c r="T50" s="375" t="s">
        <v>216</v>
      </c>
      <c r="U50" s="375" t="s">
        <v>3</v>
      </c>
      <c r="V50" s="376"/>
      <c r="W50" s="375" t="s">
        <v>216</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44682.666666666555</v>
      </c>
      <c r="BZ50" s="387">
        <f ca="1">OFFSET(TblImps[[#This Row],[Servertime]],-1,0)+1/24</f>
        <v>44682.916666666555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44682.708333333219</v>
      </c>
      <c r="M51" s="74">
        <f>IF(ISERROR(TblImps[[#This Row],[algorithm]]),0,TblImps[[#This Row],[algorithm]]*1)</f>
        <v>0</v>
      </c>
      <c r="N51" s="113">
        <f ca="1">TblImps[[#This Row],[Land]]</f>
        <v>250</v>
      </c>
      <c r="O51" s="375" t="s">
        <v>4</v>
      </c>
      <c r="P51" s="376"/>
      <c r="Q51" s="375" t="s">
        <v>216</v>
      </c>
      <c r="R51" s="375" t="s">
        <v>7</v>
      </c>
      <c r="S51" s="376"/>
      <c r="T51" s="375" t="s">
        <v>216</v>
      </c>
      <c r="U51" s="375" t="s">
        <v>3</v>
      </c>
      <c r="V51" s="376"/>
      <c r="W51" s="375" t="s">
        <v>216</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44682.708333333219</v>
      </c>
      <c r="BZ51" s="387">
        <f ca="1">OFFSET(TblImps[[#This Row],[Servertime]],-1,0)+1/24</f>
        <v>44682.958333333219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44682.749999999884</v>
      </c>
      <c r="M52" s="74">
        <f>IF(ISERROR(TblImps[[#This Row],[algorithm]]),0,TblImps[[#This Row],[algorithm]]*1)</f>
        <v>0</v>
      </c>
      <c r="N52" s="113">
        <f ca="1">TblImps[[#This Row],[Land]]</f>
        <v>250</v>
      </c>
      <c r="O52" s="375" t="s">
        <v>4</v>
      </c>
      <c r="P52" s="376"/>
      <c r="Q52" s="375" t="s">
        <v>216</v>
      </c>
      <c r="R52" s="375" t="s">
        <v>7</v>
      </c>
      <c r="S52" s="376"/>
      <c r="T52" s="375" t="s">
        <v>216</v>
      </c>
      <c r="U52" s="375" t="s">
        <v>3</v>
      </c>
      <c r="V52" s="376"/>
      <c r="W52" s="375" t="s">
        <v>216</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44682.749999999884</v>
      </c>
      <c r="BZ52" s="387">
        <f ca="1">OFFSET(TblImps[[#This Row],[Servertime]],-1,0)+1/24</f>
        <v>44682.999999999884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44682.791666666548</v>
      </c>
      <c r="M53" s="74">
        <f>IF(ISERROR(TblImps[[#This Row],[algorithm]]),0,TblImps[[#This Row],[algorithm]]*1)</f>
        <v>0</v>
      </c>
      <c r="N53" s="113">
        <f ca="1">TblImps[[#This Row],[Land]]</f>
        <v>250</v>
      </c>
      <c r="O53" s="375" t="s">
        <v>4</v>
      </c>
      <c r="P53" s="376"/>
      <c r="Q53" s="375" t="s">
        <v>216</v>
      </c>
      <c r="R53" s="375" t="s">
        <v>7</v>
      </c>
      <c r="S53" s="376"/>
      <c r="T53" s="375" t="s">
        <v>216</v>
      </c>
      <c r="U53" s="375" t="s">
        <v>3</v>
      </c>
      <c r="V53" s="376"/>
      <c r="W53" s="375" t="s">
        <v>216</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44682.791666666548</v>
      </c>
      <c r="BZ53" s="387">
        <f ca="1">OFFSET(TblImps[[#This Row],[Servertime]],-1,0)+1/24</f>
        <v>44683.041666666548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44682.833333333212</v>
      </c>
      <c r="M54" s="74">
        <f>IF(ISERROR(TblImps[[#This Row],[algorithm]]),0,TblImps[[#This Row],[algorithm]]*1)</f>
        <v>0</v>
      </c>
      <c r="N54" s="113">
        <f ca="1">TblImps[[#This Row],[Land]]</f>
        <v>250</v>
      </c>
      <c r="O54" s="375" t="s">
        <v>2</v>
      </c>
      <c r="P54" s="376"/>
      <c r="Q54" s="375" t="s">
        <v>216</v>
      </c>
      <c r="R54" s="375" t="s">
        <v>7</v>
      </c>
      <c r="S54" s="376"/>
      <c r="T54" s="375" t="s">
        <v>216</v>
      </c>
      <c r="U54" s="375" t="s">
        <v>3</v>
      </c>
      <c r="V54" s="376"/>
      <c r="W54" s="375" t="s">
        <v>216</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44682.833333333212</v>
      </c>
      <c r="BZ54" s="387">
        <f ca="1">OFFSET(TblImps[[#This Row],[Servertime]],-1,0)+1/24</f>
        <v>44683.083333333212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44682.874999999876</v>
      </c>
      <c r="M55" s="74">
        <f>IF(ISERROR(TblImps[[#This Row],[algorithm]]),0,TblImps[[#This Row],[algorithm]]*1)</f>
        <v>0</v>
      </c>
      <c r="N55" s="113">
        <f ca="1">TblImps[[#This Row],[Land]]</f>
        <v>250</v>
      </c>
      <c r="O55" s="375" t="s">
        <v>4</v>
      </c>
      <c r="P55" s="376"/>
      <c r="Q55" s="375" t="s">
        <v>216</v>
      </c>
      <c r="R55" s="375" t="s">
        <v>7</v>
      </c>
      <c r="S55" s="376"/>
      <c r="T55" s="375" t="s">
        <v>216</v>
      </c>
      <c r="U55" s="375" t="s">
        <v>3</v>
      </c>
      <c r="V55" s="376"/>
      <c r="W55" s="375" t="s">
        <v>216</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44682.874999999876</v>
      </c>
      <c r="BZ55" s="387">
        <f ca="1">OFFSET(TblImps[[#This Row],[Servertime]],-1,0)+1/24</f>
        <v>44683.124999999876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44682.916666666541</v>
      </c>
      <c r="M56" s="74">
        <f>IF(ISERROR(TblImps[[#This Row],[algorithm]]),0,TblImps[[#This Row],[algorithm]]*1)</f>
        <v>0</v>
      </c>
      <c r="N56" s="113">
        <f ca="1">TblImps[[#This Row],[Land]]</f>
        <v>250</v>
      </c>
      <c r="O56" s="375" t="s">
        <v>4</v>
      </c>
      <c r="P56" s="376"/>
      <c r="Q56" s="375" t="s">
        <v>216</v>
      </c>
      <c r="R56" s="375" t="s">
        <v>7</v>
      </c>
      <c r="S56" s="376"/>
      <c r="T56" s="375" t="s">
        <v>216</v>
      </c>
      <c r="U56" s="375" t="s">
        <v>3</v>
      </c>
      <c r="V56" s="376"/>
      <c r="W56" s="375" t="s">
        <v>216</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44682.916666666541</v>
      </c>
      <c r="BZ56" s="387">
        <f ca="1">OFFSET(TblImps[[#This Row],[Servertime]],-1,0)+1/24</f>
        <v>44683.166666666541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44682.958333333205</v>
      </c>
      <c r="M57" s="74">
        <f>IF(ISERROR(TblImps[[#This Row],[algorithm]]),0,TblImps[[#This Row],[algorithm]]*1)</f>
        <v>0</v>
      </c>
      <c r="N57" s="113">
        <f ca="1">TblImps[[#This Row],[Land]]</f>
        <v>250</v>
      </c>
      <c r="O57" s="375" t="s">
        <v>4</v>
      </c>
      <c r="P57" s="376"/>
      <c r="Q57" s="375" t="s">
        <v>216</v>
      </c>
      <c r="R57" s="375" t="s">
        <v>7</v>
      </c>
      <c r="S57" s="376"/>
      <c r="T57" s="375" t="s">
        <v>216</v>
      </c>
      <c r="U57" s="375" t="s">
        <v>3</v>
      </c>
      <c r="V57" s="376"/>
      <c r="W57" s="375" t="s">
        <v>216</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44682.958333333205</v>
      </c>
      <c r="BZ57" s="387">
        <f ca="1">OFFSET(TblImps[[#This Row],[Servertime]],-1,0)+1/24</f>
        <v>44683.208333333205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44682.999999999869</v>
      </c>
      <c r="M58" s="74">
        <f>IF(ISERROR(TblImps[[#This Row],[algorithm]]),0,TblImps[[#This Row],[algorithm]]*1)</f>
        <v>0</v>
      </c>
      <c r="N58" s="113">
        <f ca="1">TblImps[[#This Row],[Land]]</f>
        <v>250</v>
      </c>
      <c r="O58" s="375" t="s">
        <v>4</v>
      </c>
      <c r="P58" s="376"/>
      <c r="Q58" s="375" t="s">
        <v>216</v>
      </c>
      <c r="R58" s="375" t="s">
        <v>7</v>
      </c>
      <c r="S58" s="376"/>
      <c r="T58" s="375" t="s">
        <v>216</v>
      </c>
      <c r="U58" s="375" t="s">
        <v>3</v>
      </c>
      <c r="V58" s="376"/>
      <c r="W58" s="375" t="s">
        <v>216</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44682.999999999869</v>
      </c>
      <c r="BZ58" s="387">
        <f ca="1">OFFSET(TblImps[[#This Row],[Servertime]],-1,0)+1/24</f>
        <v>44683.249999999869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44683.041666666533</v>
      </c>
      <c r="M59" s="74">
        <f>IF(ISERROR(TblImps[[#This Row],[algorithm]]),0,TblImps[[#This Row],[algorithm]]*1)</f>
        <v>0</v>
      </c>
      <c r="N59" s="113">
        <f ca="1">TblImps[[#This Row],[Land]]</f>
        <v>250</v>
      </c>
      <c r="O59" s="375" t="s">
        <v>4</v>
      </c>
      <c r="P59" s="376"/>
      <c r="Q59" s="375" t="s">
        <v>216</v>
      </c>
      <c r="R59" s="375" t="s">
        <v>7</v>
      </c>
      <c r="S59" s="376"/>
      <c r="T59" s="375" t="s">
        <v>216</v>
      </c>
      <c r="U59" s="375" t="s">
        <v>3</v>
      </c>
      <c r="V59" s="376"/>
      <c r="W59" s="375" t="s">
        <v>216</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44683.041666666533</v>
      </c>
      <c r="BZ59" s="387">
        <f ca="1">OFFSET(TblImps[[#This Row],[Servertime]],-1,0)+1/24</f>
        <v>44683.291666666533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44683.083333333198</v>
      </c>
      <c r="M60" s="74">
        <f>IF(ISERROR(TblImps[[#This Row],[algorithm]]),0,TblImps[[#This Row],[algorithm]]*1)</f>
        <v>0</v>
      </c>
      <c r="N60" s="113">
        <f ca="1">TblImps[[#This Row],[Land]]</f>
        <v>250</v>
      </c>
      <c r="O60" s="375" t="s">
        <v>4</v>
      </c>
      <c r="P60" s="376"/>
      <c r="Q60" s="375" t="s">
        <v>216</v>
      </c>
      <c r="R60" s="375" t="s">
        <v>7</v>
      </c>
      <c r="S60" s="376"/>
      <c r="T60" s="375" t="s">
        <v>216</v>
      </c>
      <c r="U60" s="375" t="s">
        <v>3</v>
      </c>
      <c r="V60" s="376"/>
      <c r="W60" s="375" t="s">
        <v>216</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44683.083333333198</v>
      </c>
      <c r="BZ60" s="387">
        <f ca="1">OFFSET(TblImps[[#This Row],[Servertime]],-1,0)+1/24</f>
        <v>44683.333333333198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44683.124999999862</v>
      </c>
      <c r="M61" s="74">
        <f>IF(ISERROR(TblImps[[#This Row],[algorithm]]),0,TblImps[[#This Row],[algorithm]]*1)</f>
        <v>0</v>
      </c>
      <c r="N61" s="113">
        <f ca="1">TblImps[[#This Row],[Land]]</f>
        <v>250</v>
      </c>
      <c r="O61" s="375" t="s">
        <v>4</v>
      </c>
      <c r="P61" s="376"/>
      <c r="Q61" s="375" t="s">
        <v>216</v>
      </c>
      <c r="R61" s="375" t="s">
        <v>7</v>
      </c>
      <c r="S61" s="376"/>
      <c r="T61" s="375" t="s">
        <v>216</v>
      </c>
      <c r="U61" s="375" t="s">
        <v>3</v>
      </c>
      <c r="V61" s="376"/>
      <c r="W61" s="375" t="s">
        <v>216</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44683.124999999862</v>
      </c>
      <c r="BZ61" s="387">
        <f ca="1">OFFSET(TblImps[[#This Row],[Servertime]],-1,0)+1/24</f>
        <v>44683.374999999862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44683.166666666526</v>
      </c>
      <c r="M62" s="74">
        <f>IF(ISERROR(TblImps[[#This Row],[algorithm]]),0,TblImps[[#This Row],[algorithm]]*1)</f>
        <v>0</v>
      </c>
      <c r="N62" s="113">
        <f ca="1">TblImps[[#This Row],[Land]]</f>
        <v>250</v>
      </c>
      <c r="O62" s="375" t="s">
        <v>4</v>
      </c>
      <c r="P62" s="376"/>
      <c r="Q62" s="375" t="s">
        <v>216</v>
      </c>
      <c r="R62" s="375" t="s">
        <v>7</v>
      </c>
      <c r="S62" s="376"/>
      <c r="T62" s="375" t="s">
        <v>216</v>
      </c>
      <c r="U62" s="375" t="s">
        <v>3</v>
      </c>
      <c r="V62" s="376"/>
      <c r="W62" s="375" t="s">
        <v>216</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44683.166666666526</v>
      </c>
      <c r="BZ62" s="387">
        <f ca="1">OFFSET(TblImps[[#This Row],[Servertime]],-1,0)+1/24</f>
        <v>44683.416666666526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44683.20833333319</v>
      </c>
      <c r="M63" s="74">
        <f>IF(ISERROR(TblImps[[#This Row],[algorithm]]),0,TblImps[[#This Row],[algorithm]]*1)</f>
        <v>0</v>
      </c>
      <c r="N63" s="113">
        <f ca="1">TblImps[[#This Row],[Land]]</f>
        <v>250</v>
      </c>
      <c r="O63" s="375" t="s">
        <v>4</v>
      </c>
      <c r="P63" s="376"/>
      <c r="Q63" s="375" t="s">
        <v>216</v>
      </c>
      <c r="R63" s="375" t="s">
        <v>7</v>
      </c>
      <c r="S63" s="376"/>
      <c r="T63" s="375" t="s">
        <v>216</v>
      </c>
      <c r="U63" s="375" t="s">
        <v>3</v>
      </c>
      <c r="V63" s="376"/>
      <c r="W63" s="375" t="s">
        <v>216</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44683.20833333319</v>
      </c>
      <c r="BZ63" s="387">
        <f ca="1">OFFSET(TblImps[[#This Row],[Servertime]],-1,0)+1/24</f>
        <v>44683.45833333319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44683.249999999854</v>
      </c>
      <c r="M64" s="74">
        <f>IF(ISERROR(TblImps[[#This Row],[algorithm]]),0,TblImps[[#This Row],[algorithm]]*1)</f>
        <v>0</v>
      </c>
      <c r="N64" s="113">
        <f ca="1">TblImps[[#This Row],[Land]]</f>
        <v>250</v>
      </c>
      <c r="O64" s="375" t="s">
        <v>4</v>
      </c>
      <c r="P64" s="376"/>
      <c r="Q64" s="375" t="s">
        <v>216</v>
      </c>
      <c r="R64" s="375" t="s">
        <v>7</v>
      </c>
      <c r="S64" s="376"/>
      <c r="T64" s="375" t="s">
        <v>216</v>
      </c>
      <c r="U64" s="375" t="s">
        <v>3</v>
      </c>
      <c r="V64" s="376"/>
      <c r="W64" s="375" t="s">
        <v>216</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44683.249999999854</v>
      </c>
      <c r="BZ64" s="387">
        <f ca="1">OFFSET(TblImps[[#This Row],[Servertime]],-1,0)+1/24</f>
        <v>44683.499999999854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44683.291666666519</v>
      </c>
      <c r="M65" s="74">
        <f>IF(ISERROR(TblImps[[#This Row],[algorithm]]),0,TblImps[[#This Row],[algorithm]]*1)</f>
        <v>0</v>
      </c>
      <c r="N65" s="113">
        <f ca="1">TblImps[[#This Row],[Land]]</f>
        <v>250</v>
      </c>
      <c r="O65" s="375" t="s">
        <v>4</v>
      </c>
      <c r="P65" s="376"/>
      <c r="Q65" s="375" t="s">
        <v>216</v>
      </c>
      <c r="R65" s="375" t="s">
        <v>7</v>
      </c>
      <c r="S65" s="376"/>
      <c r="T65" s="375" t="s">
        <v>216</v>
      </c>
      <c r="U65" s="375" t="s">
        <v>3</v>
      </c>
      <c r="V65" s="376"/>
      <c r="W65" s="375" t="s">
        <v>216</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44683.291666666519</v>
      </c>
      <c r="BZ65" s="387">
        <f ca="1">OFFSET(TblImps[[#This Row],[Servertime]],-1,0)+1/24</f>
        <v>44683.541666666519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44683.333333333183</v>
      </c>
      <c r="M66" s="74">
        <f>IF(ISERROR(TblImps[[#This Row],[algorithm]]),0,TblImps[[#This Row],[algorithm]]*1)</f>
        <v>0</v>
      </c>
      <c r="N66" s="113">
        <f ca="1">TblImps[[#This Row],[Land]]</f>
        <v>250</v>
      </c>
      <c r="O66" s="375" t="s">
        <v>2</v>
      </c>
      <c r="P66" s="376"/>
      <c r="Q66" s="375" t="s">
        <v>216</v>
      </c>
      <c r="R66" s="375" t="s">
        <v>7</v>
      </c>
      <c r="S66" s="376"/>
      <c r="T66" s="375" t="s">
        <v>216</v>
      </c>
      <c r="U66" s="375" t="s">
        <v>3</v>
      </c>
      <c r="V66" s="376"/>
      <c r="W66" s="375" t="s">
        <v>216</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44683.333333333183</v>
      </c>
      <c r="BZ66" s="387">
        <f ca="1">OFFSET(TblImps[[#This Row],[Servertime]],-1,0)+1/24</f>
        <v>44683.583333333183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44683.374999999847</v>
      </c>
      <c r="M67" s="74">
        <f>IF(ISERROR(TblImps[[#This Row],[algorithm]]),0,TblImps[[#This Row],[algorithm]]*1)</f>
        <v>0</v>
      </c>
      <c r="N67" s="113">
        <f ca="1">TblImps[[#This Row],[Land]]</f>
        <v>250</v>
      </c>
      <c r="O67" s="375" t="s">
        <v>4</v>
      </c>
      <c r="P67" s="376"/>
      <c r="Q67" s="375" t="s">
        <v>216</v>
      </c>
      <c r="R67" s="375" t="s">
        <v>7</v>
      </c>
      <c r="S67" s="376"/>
      <c r="T67" s="375" t="s">
        <v>216</v>
      </c>
      <c r="U67" s="375" t="s">
        <v>3</v>
      </c>
      <c r="V67" s="376"/>
      <c r="W67" s="375" t="s">
        <v>216</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44683.374999999847</v>
      </c>
      <c r="BZ67" s="387">
        <f ca="1">OFFSET(TblImps[[#This Row],[Servertime]],-1,0)+1/24</f>
        <v>44683.624999999847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44683.416666666511</v>
      </c>
      <c r="M68" s="74">
        <f>IF(ISERROR(TblImps[[#This Row],[algorithm]]),0,TblImps[[#This Row],[algorithm]]*1)</f>
        <v>0</v>
      </c>
      <c r="N68" s="113">
        <f ca="1">TblImps[[#This Row],[Land]]</f>
        <v>250</v>
      </c>
      <c r="O68" s="375" t="s">
        <v>4</v>
      </c>
      <c r="P68" s="376"/>
      <c r="Q68" s="375" t="s">
        <v>216</v>
      </c>
      <c r="R68" s="375" t="s">
        <v>7</v>
      </c>
      <c r="S68" s="376"/>
      <c r="T68" s="375" t="s">
        <v>216</v>
      </c>
      <c r="U68" s="375" t="s">
        <v>3</v>
      </c>
      <c r="V68" s="376"/>
      <c r="W68" s="375" t="s">
        <v>216</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44683.416666666511</v>
      </c>
      <c r="BZ68" s="387">
        <f ca="1">OFFSET(TblImps[[#This Row],[Servertime]],-1,0)+1/24</f>
        <v>44683.666666666511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44683.458333333176</v>
      </c>
      <c r="M69" s="74">
        <f>IF(ISERROR(TblImps[[#This Row],[algorithm]]),0,TblImps[[#This Row],[algorithm]]*1)</f>
        <v>0</v>
      </c>
      <c r="N69" s="113">
        <f ca="1">TblImps[[#This Row],[Land]]</f>
        <v>250</v>
      </c>
      <c r="O69" s="375" t="s">
        <v>4</v>
      </c>
      <c r="P69" s="376"/>
      <c r="Q69" s="375" t="s">
        <v>216</v>
      </c>
      <c r="R69" s="375" t="s">
        <v>7</v>
      </c>
      <c r="S69" s="376"/>
      <c r="T69" s="375" t="s">
        <v>216</v>
      </c>
      <c r="U69" s="375" t="s">
        <v>3</v>
      </c>
      <c r="V69" s="376"/>
      <c r="W69" s="375" t="s">
        <v>216</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44683.458333333176</v>
      </c>
      <c r="BZ69" s="387">
        <f ca="1">OFFSET(TblImps[[#This Row],[Servertime]],-1,0)+1/24</f>
        <v>44683.708333333176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44683.49999999984</v>
      </c>
      <c r="M70" s="74">
        <f>IF(ISERROR(TblImps[[#This Row],[algorithm]]),0,TblImps[[#This Row],[algorithm]]*1)</f>
        <v>0</v>
      </c>
      <c r="N70" s="113">
        <f ca="1">TblImps[[#This Row],[Land]]</f>
        <v>250</v>
      </c>
      <c r="O70" s="375" t="s">
        <v>4</v>
      </c>
      <c r="P70" s="376"/>
      <c r="Q70" s="375" t="s">
        <v>216</v>
      </c>
      <c r="R70" s="375" t="s">
        <v>7</v>
      </c>
      <c r="S70" s="376"/>
      <c r="T70" s="375" t="s">
        <v>216</v>
      </c>
      <c r="U70" s="375" t="s">
        <v>3</v>
      </c>
      <c r="V70" s="376"/>
      <c r="W70" s="375" t="s">
        <v>216</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44683.49999999984</v>
      </c>
      <c r="BZ70" s="387">
        <f ca="1">OFFSET(TblImps[[#This Row],[Servertime]],-1,0)+1/24</f>
        <v>44683.74999999984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44683.541666666504</v>
      </c>
      <c r="M71" s="74">
        <f>IF(ISERROR(TblImps[[#This Row],[algorithm]]),0,TblImps[[#This Row],[algorithm]]*1)</f>
        <v>0</v>
      </c>
      <c r="N71" s="113">
        <f ca="1">TblImps[[#This Row],[Land]]</f>
        <v>250</v>
      </c>
      <c r="O71" s="375" t="s">
        <v>4</v>
      </c>
      <c r="P71" s="376"/>
      <c r="Q71" s="375" t="s">
        <v>216</v>
      </c>
      <c r="R71" s="375" t="s">
        <v>7</v>
      </c>
      <c r="S71" s="376"/>
      <c r="T71" s="375" t="s">
        <v>216</v>
      </c>
      <c r="U71" s="375" t="s">
        <v>3</v>
      </c>
      <c r="V71" s="376"/>
      <c r="W71" s="375" t="s">
        <v>216</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44683.541666666504</v>
      </c>
      <c r="BZ71" s="387">
        <f ca="1">OFFSET(TblImps[[#This Row],[Servertime]],-1,0)+1/24</f>
        <v>44683.791666666504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44683.583333333168</v>
      </c>
      <c r="M72" s="74">
        <f>IF(ISERROR(TblImps[[#This Row],[algorithm]]),0,TblImps[[#This Row],[algorithm]]*1)</f>
        <v>0</v>
      </c>
      <c r="N72" s="113">
        <f ca="1">TblImps[[#This Row],[Land]]</f>
        <v>250</v>
      </c>
      <c r="O72" s="375" t="s">
        <v>4</v>
      </c>
      <c r="P72" s="376"/>
      <c r="Q72" s="375" t="s">
        <v>216</v>
      </c>
      <c r="R72" s="375" t="s">
        <v>7</v>
      </c>
      <c r="S72" s="376"/>
      <c r="T72" s="375" t="s">
        <v>216</v>
      </c>
      <c r="U72" s="375" t="s">
        <v>3</v>
      </c>
      <c r="V72" s="376"/>
      <c r="W72" s="375" t="s">
        <v>216</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44683.583333333168</v>
      </c>
      <c r="BZ72" s="387">
        <f ca="1">OFFSET(TblImps[[#This Row],[Servertime]],-1,0)+1/24</f>
        <v>44683.833333333168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44683.624999999833</v>
      </c>
      <c r="M73" s="74">
        <f>IF(ISERROR(TblImps[[#This Row],[algorithm]]),0,TblImps[[#This Row],[algorithm]]*1)</f>
        <v>0</v>
      </c>
      <c r="N73" s="113">
        <f ca="1">TblImps[[#This Row],[Land]]</f>
        <v>250</v>
      </c>
      <c r="O73" s="375" t="s">
        <v>4</v>
      </c>
      <c r="P73" s="376"/>
      <c r="Q73" s="375" t="s">
        <v>216</v>
      </c>
      <c r="R73" s="375" t="s">
        <v>7</v>
      </c>
      <c r="S73" s="376"/>
      <c r="T73" s="375" t="s">
        <v>216</v>
      </c>
      <c r="U73" s="375" t="s">
        <v>3</v>
      </c>
      <c r="V73" s="376"/>
      <c r="W73" s="375" t="s">
        <v>216</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44683.624999999833</v>
      </c>
      <c r="BZ73" s="387">
        <f ca="1">OFFSET(TblImps[[#This Row],[Servertime]],-1,0)+1/24</f>
        <v>44683.874999999833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44683.666666666497</v>
      </c>
      <c r="M74" s="74">
        <f>IF(ISERROR(TblImps[[#This Row],[algorithm]]),0,TblImps[[#This Row],[algorithm]]*1)</f>
        <v>0</v>
      </c>
      <c r="N74" s="113">
        <f ca="1">TblImps[[#This Row],[Land]]</f>
        <v>250</v>
      </c>
      <c r="O74" s="375" t="s">
        <v>4</v>
      </c>
      <c r="P74" s="376"/>
      <c r="Q74" s="375" t="s">
        <v>216</v>
      </c>
      <c r="R74" s="375" t="s">
        <v>7</v>
      </c>
      <c r="S74" s="376"/>
      <c r="T74" s="375" t="s">
        <v>216</v>
      </c>
      <c r="U74" s="375" t="s">
        <v>3</v>
      </c>
      <c r="V74" s="376"/>
      <c r="W74" s="375" t="s">
        <v>216</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44683.666666666497</v>
      </c>
      <c r="BZ74" s="387">
        <f ca="1">OFFSET(TblImps[[#This Row],[Servertime]],-1,0)+1/24</f>
        <v>44683.916666666497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44683.708333333161</v>
      </c>
      <c r="M75" s="74">
        <f>IF(ISERROR(TblImps[[#This Row],[algorithm]]),0,TblImps[[#This Row],[algorithm]]*1)</f>
        <v>0</v>
      </c>
      <c r="N75" s="113">
        <f ca="1">TblImps[[#This Row],[Land]]</f>
        <v>250</v>
      </c>
      <c r="O75" s="375" t="s">
        <v>4</v>
      </c>
      <c r="P75" s="376"/>
      <c r="Q75" s="375" t="s">
        <v>216</v>
      </c>
      <c r="R75" s="375" t="s">
        <v>7</v>
      </c>
      <c r="S75" s="376"/>
      <c r="T75" s="375" t="s">
        <v>216</v>
      </c>
      <c r="U75" s="375" t="s">
        <v>3</v>
      </c>
      <c r="V75" s="376"/>
      <c r="W75" s="375" t="s">
        <v>216</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44683.708333333161</v>
      </c>
      <c r="BZ75" s="387">
        <f ca="1">OFFSET(TblImps[[#This Row],[Servertime]],-1,0)+1/24</f>
        <v>44683.958333333161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44683.749999999825</v>
      </c>
      <c r="M76" s="252">
        <f>IF(ISERROR(TblImps[[#This Row],[algorithm]]),0,TblImps[[#This Row],[algorithm]]*1)</f>
        <v>0</v>
      </c>
      <c r="N76" s="262">
        <f ca="1">TblImps[[#This Row],[Land]]</f>
        <v>250</v>
      </c>
      <c r="O76" s="393" t="s">
        <v>4</v>
      </c>
      <c r="P76" s="394"/>
      <c r="Q76" s="393" t="s">
        <v>216</v>
      </c>
      <c r="R76" s="375" t="s">
        <v>7</v>
      </c>
      <c r="S76" s="394"/>
      <c r="T76" s="393" t="s">
        <v>216</v>
      </c>
      <c r="U76" s="393" t="s">
        <v>3</v>
      </c>
      <c r="V76" s="394"/>
      <c r="W76" s="393" t="s">
        <v>216</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44683.749999999825</v>
      </c>
      <c r="BZ76" s="399">
        <f ca="1">OFFSET(TblImps[[#This Row],[Servertime]],-1,0)+1/24</f>
        <v>44683.999999999825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44683.79166666649</v>
      </c>
      <c r="M77" s="74">
        <f>IF(ISERROR(TblImps[[#This Row],[algorithm]]),0,TblImps[[#This Row],[algorithm]]*1)</f>
        <v>0</v>
      </c>
      <c r="N77" s="113">
        <f ca="1">TblImps[[#This Row],[Land]]</f>
        <v>250</v>
      </c>
      <c r="O77" s="375" t="s">
        <v>4</v>
      </c>
      <c r="P77" s="376"/>
      <c r="Q77" s="375" t="s">
        <v>216</v>
      </c>
      <c r="R77" s="375" t="s">
        <v>7</v>
      </c>
      <c r="S77" s="376"/>
      <c r="T77" s="375" t="s">
        <v>216</v>
      </c>
      <c r="U77" s="375" t="s">
        <v>3</v>
      </c>
      <c r="V77" s="376"/>
      <c r="W77" s="375" t="s">
        <v>216</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44683.79166666649</v>
      </c>
      <c r="BZ77" s="387">
        <f ca="1">OFFSET(TblImps[[#This Row],[Servertime]],-1,0)+1/24</f>
        <v>44684.04166666649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44683.833333333154</v>
      </c>
      <c r="M78" s="74">
        <f>IF(ISERROR(TblImps[[#This Row],[algorithm]]),0,TblImps[[#This Row],[algorithm]]*1)</f>
        <v>0</v>
      </c>
      <c r="N78" s="113">
        <f ca="1">TblImps[[#This Row],[Land]]</f>
        <v>250</v>
      </c>
      <c r="O78" s="375" t="s">
        <v>4</v>
      </c>
      <c r="P78" s="376"/>
      <c r="Q78" s="375" t="s">
        <v>216</v>
      </c>
      <c r="R78" s="375" t="s">
        <v>7</v>
      </c>
      <c r="S78" s="376"/>
      <c r="T78" s="375" t="s">
        <v>216</v>
      </c>
      <c r="U78" s="375" t="s">
        <v>3</v>
      </c>
      <c r="V78" s="376"/>
      <c r="W78" s="375" t="s">
        <v>216</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44683.833333333154</v>
      </c>
      <c r="BZ78" s="387">
        <f ca="1">OFFSET(TblImps[[#This Row],[Servertime]],-1,0)+1/24</f>
        <v>44684.083333333154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44683.874999999818</v>
      </c>
      <c r="M79" s="74">
        <f>IF(ISERROR(TblImps[[#This Row],[algorithm]]),0,TblImps[[#This Row],[algorithm]]*1)</f>
        <v>0</v>
      </c>
      <c r="N79" s="113">
        <f ca="1">TblImps[[#This Row],[Land]]</f>
        <v>250</v>
      </c>
      <c r="O79" s="375" t="s">
        <v>4</v>
      </c>
      <c r="P79" s="376"/>
      <c r="Q79" s="375" t="s">
        <v>216</v>
      </c>
      <c r="R79" s="375" t="s">
        <v>7</v>
      </c>
      <c r="S79" s="376"/>
      <c r="T79" s="375" t="s">
        <v>216</v>
      </c>
      <c r="U79" s="375" t="s">
        <v>3</v>
      </c>
      <c r="V79" s="376"/>
      <c r="W79" s="375" t="s">
        <v>216</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44683.874999999818</v>
      </c>
      <c r="BZ79" s="387">
        <f ca="1">OFFSET(TblImps[[#This Row],[Servertime]],-1,0)+1/24</f>
        <v>44684.124999999818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44683.916666666482</v>
      </c>
      <c r="M80" s="74">
        <f>IF(ISERROR(TblImps[[#This Row],[algorithm]]),0,TblImps[[#This Row],[algorithm]]*1)</f>
        <v>0</v>
      </c>
      <c r="N80" s="113">
        <f ca="1">TblImps[[#This Row],[Land]]</f>
        <v>250</v>
      </c>
      <c r="O80" s="375" t="s">
        <v>4</v>
      </c>
      <c r="P80" s="376"/>
      <c r="Q80" s="375" t="s">
        <v>216</v>
      </c>
      <c r="R80" s="375" t="s">
        <v>7</v>
      </c>
      <c r="S80" s="376"/>
      <c r="T80" s="375" t="s">
        <v>216</v>
      </c>
      <c r="U80" s="375" t="s">
        <v>3</v>
      </c>
      <c r="V80" s="376"/>
      <c r="W80" s="375" t="s">
        <v>216</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44683.916666666482</v>
      </c>
      <c r="BZ80" s="387">
        <f ca="1">OFFSET(TblImps[[#This Row],[Servertime]],-1,0)+1/24</f>
        <v>44684.166666666482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44683.958333333147</v>
      </c>
      <c r="M81" s="74">
        <f>IF(ISERROR(TblImps[[#This Row],[algorithm]]),0,TblImps[[#This Row],[algorithm]]*1)</f>
        <v>0</v>
      </c>
      <c r="N81" s="113">
        <f ca="1">TblImps[[#This Row],[Land]]</f>
        <v>250</v>
      </c>
      <c r="O81" s="375" t="s">
        <v>4</v>
      </c>
      <c r="P81" s="376"/>
      <c r="Q81" s="375" t="s">
        <v>216</v>
      </c>
      <c r="R81" s="375" t="s">
        <v>7</v>
      </c>
      <c r="S81" s="376"/>
      <c r="T81" s="375" t="s">
        <v>216</v>
      </c>
      <c r="U81" s="375" t="s">
        <v>3</v>
      </c>
      <c r="V81" s="376"/>
      <c r="W81" s="375" t="s">
        <v>216</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44683.958333333147</v>
      </c>
      <c r="BZ81" s="387">
        <f ca="1">OFFSET(TblImps[[#This Row],[Servertime]],-1,0)+1/24</f>
        <v>44684.208333333147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44683.999999999811</v>
      </c>
      <c r="M82" s="74">
        <f>IF(ISERROR(TblImps[[#This Row],[algorithm]]),0,TblImps[[#This Row],[algorithm]]*1)</f>
        <v>0</v>
      </c>
      <c r="N82" s="113">
        <f ca="1">TblImps[[#This Row],[Land]]</f>
        <v>250</v>
      </c>
      <c r="O82" s="375" t="s">
        <v>4</v>
      </c>
      <c r="P82" s="376"/>
      <c r="Q82" s="375" t="s">
        <v>216</v>
      </c>
      <c r="R82" s="375" t="s">
        <v>7</v>
      </c>
      <c r="S82" s="376"/>
      <c r="T82" s="375" t="s">
        <v>216</v>
      </c>
      <c r="U82" s="375" t="s">
        <v>3</v>
      </c>
      <c r="V82" s="376"/>
      <c r="W82" s="375" t="s">
        <v>216</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44683.999999999811</v>
      </c>
      <c r="BZ82" s="387">
        <f ca="1">OFFSET(TblImps[[#This Row],[Servertime]],-1,0)+1/24</f>
        <v>44684.249999999811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44684.041666666475</v>
      </c>
      <c r="M83" s="74">
        <f>IF(ISERROR(TblImps[[#This Row],[algorithm]]),0,TblImps[[#This Row],[algorithm]]*1)</f>
        <v>0</v>
      </c>
      <c r="N83" s="113">
        <f ca="1">TblImps[[#This Row],[Land]]</f>
        <v>250</v>
      </c>
      <c r="O83" s="375" t="s">
        <v>4</v>
      </c>
      <c r="P83" s="376"/>
      <c r="Q83" s="375" t="s">
        <v>216</v>
      </c>
      <c r="R83" s="375" t="s">
        <v>7</v>
      </c>
      <c r="S83" s="376"/>
      <c r="T83" s="375" t="s">
        <v>216</v>
      </c>
      <c r="U83" s="375" t="s">
        <v>3</v>
      </c>
      <c r="V83" s="376"/>
      <c r="W83" s="375" t="s">
        <v>216</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44684.041666666475</v>
      </c>
      <c r="BZ83" s="387">
        <f ca="1">OFFSET(TblImps[[#This Row],[Servertime]],-1,0)+1/24</f>
        <v>44684.291666666475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44684.083333333139</v>
      </c>
      <c r="M84" s="74">
        <f>IF(ISERROR(TblImps[[#This Row],[algorithm]]),0,TblImps[[#This Row],[algorithm]]*1)</f>
        <v>0</v>
      </c>
      <c r="N84" s="113">
        <f ca="1">TblImps[[#This Row],[Land]]</f>
        <v>250</v>
      </c>
      <c r="O84" s="375" t="s">
        <v>4</v>
      </c>
      <c r="P84" s="376"/>
      <c r="Q84" s="375" t="s">
        <v>216</v>
      </c>
      <c r="R84" s="375" t="s">
        <v>7</v>
      </c>
      <c r="S84" s="376"/>
      <c r="T84" s="375" t="s">
        <v>216</v>
      </c>
      <c r="U84" s="375" t="s">
        <v>3</v>
      </c>
      <c r="V84" s="376"/>
      <c r="W84" s="375" t="s">
        <v>216</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44684.083333333139</v>
      </c>
      <c r="BZ84" s="387">
        <f ca="1">OFFSET(TblImps[[#This Row],[Servertime]],-1,0)+1/24</f>
        <v>44684.333333333139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44684.124999999804</v>
      </c>
      <c r="M85" s="74">
        <f>IF(ISERROR(TblImps[[#This Row],[algorithm]]),0,TblImps[[#This Row],[algorithm]]*1)</f>
        <v>0</v>
      </c>
      <c r="N85" s="113">
        <f ca="1">TblImps[[#This Row],[Land]]</f>
        <v>250</v>
      </c>
      <c r="O85" s="375" t="s">
        <v>4</v>
      </c>
      <c r="P85" s="376"/>
      <c r="Q85" s="375" t="s">
        <v>216</v>
      </c>
      <c r="R85" s="375" t="s">
        <v>7</v>
      </c>
      <c r="S85" s="376"/>
      <c r="T85" s="375" t="s">
        <v>216</v>
      </c>
      <c r="U85" s="375" t="s">
        <v>3</v>
      </c>
      <c r="V85" s="376"/>
      <c r="W85" s="375" t="s">
        <v>216</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44684.124999999804</v>
      </c>
      <c r="BZ85" s="387">
        <f ca="1">OFFSET(TblImps[[#This Row],[Servertime]],-1,0)+1/24</f>
        <v>44684.374999999804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44684.166666666468</v>
      </c>
      <c r="M86" s="74">
        <f>IF(ISERROR(TblImps[[#This Row],[algorithm]]),0,TblImps[[#This Row],[algorithm]]*1)</f>
        <v>0</v>
      </c>
      <c r="N86" s="113">
        <f ca="1">TblImps[[#This Row],[Land]]</f>
        <v>250</v>
      </c>
      <c r="O86" s="375" t="s">
        <v>4</v>
      </c>
      <c r="P86" s="376"/>
      <c r="Q86" s="375" t="s">
        <v>216</v>
      </c>
      <c r="R86" s="375" t="s">
        <v>7</v>
      </c>
      <c r="S86" s="376"/>
      <c r="T86" s="375" t="s">
        <v>216</v>
      </c>
      <c r="U86" s="375" t="s">
        <v>3</v>
      </c>
      <c r="V86" s="376"/>
      <c r="W86" s="375" t="s">
        <v>216</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44684.166666666468</v>
      </c>
      <c r="BZ86" s="387">
        <f ca="1">OFFSET(TblImps[[#This Row],[Servertime]],-1,0)+1/24</f>
        <v>44684.416666666468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44684.208333333132</v>
      </c>
      <c r="M87" s="74">
        <f>IF(ISERROR(TblImps[[#This Row],[algorithm]]),0,TblImps[[#This Row],[algorithm]]*1)</f>
        <v>0</v>
      </c>
      <c r="N87" s="113">
        <f ca="1">TblImps[[#This Row],[Land]]</f>
        <v>250</v>
      </c>
      <c r="O87" s="375" t="s">
        <v>4</v>
      </c>
      <c r="P87" s="376"/>
      <c r="Q87" s="375" t="s">
        <v>216</v>
      </c>
      <c r="R87" s="375" t="s">
        <v>7</v>
      </c>
      <c r="S87" s="376"/>
      <c r="T87" s="375" t="s">
        <v>216</v>
      </c>
      <c r="U87" s="375" t="s">
        <v>3</v>
      </c>
      <c r="V87" s="376"/>
      <c r="W87" s="375" t="s">
        <v>216</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44684.208333333132</v>
      </c>
      <c r="BZ87" s="387">
        <f ca="1">OFFSET(TblImps[[#This Row],[Servertime]],-1,0)+1/24</f>
        <v>44684.458333333132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44684.249999999796</v>
      </c>
      <c r="M88" s="74">
        <f>IF(ISERROR(TblImps[[#This Row],[algorithm]]),0,TblImps[[#This Row],[algorithm]]*1)</f>
        <v>0</v>
      </c>
      <c r="N88" s="113">
        <f ca="1">TblImps[[#This Row],[Land]]</f>
        <v>250</v>
      </c>
      <c r="O88" s="375" t="s">
        <v>4</v>
      </c>
      <c r="P88" s="376"/>
      <c r="Q88" s="375" t="s">
        <v>216</v>
      </c>
      <c r="R88" s="375" t="s">
        <v>7</v>
      </c>
      <c r="S88" s="376"/>
      <c r="T88" s="375" t="s">
        <v>216</v>
      </c>
      <c r="U88" s="375" t="s">
        <v>3</v>
      </c>
      <c r="V88" s="376"/>
      <c r="W88" s="375" t="s">
        <v>216</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44684.249999999796</v>
      </c>
      <c r="BZ88" s="387">
        <f ca="1">OFFSET(TblImps[[#This Row],[Servertime]],-1,0)+1/24</f>
        <v>44684.499999999796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44684.291666666461</v>
      </c>
      <c r="M89" s="74">
        <f>IF(ISERROR(TblImps[[#This Row],[algorithm]]),0,TblImps[[#This Row],[algorithm]]*1)</f>
        <v>0</v>
      </c>
      <c r="N89" s="113">
        <f ca="1">TblImps[[#This Row],[Land]]</f>
        <v>250</v>
      </c>
      <c r="O89" s="375" t="s">
        <v>2</v>
      </c>
      <c r="P89" s="376"/>
      <c r="Q89" s="375" t="s">
        <v>216</v>
      </c>
      <c r="R89" s="375" t="s">
        <v>7</v>
      </c>
      <c r="S89" s="376"/>
      <c r="T89" s="375" t="s">
        <v>216</v>
      </c>
      <c r="U89" s="375" t="s">
        <v>3</v>
      </c>
      <c r="V89" s="376"/>
      <c r="W89" s="375" t="s">
        <v>216</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44684.291666666461</v>
      </c>
      <c r="BZ89" s="387">
        <f ca="1">OFFSET(TblImps[[#This Row],[Servertime]],-1,0)+1/24</f>
        <v>44684.541666666461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44684.333333333125</v>
      </c>
      <c r="M90" s="74">
        <f>IF(ISERROR(TblImps[[#This Row],[algorithm]]),0,TblImps[[#This Row],[algorithm]]*1)</f>
        <v>0</v>
      </c>
      <c r="N90" s="113">
        <f ca="1">TblImps[[#This Row],[Land]]</f>
        <v>250</v>
      </c>
      <c r="O90" s="375" t="s">
        <v>4</v>
      </c>
      <c r="P90" s="376"/>
      <c r="Q90" s="375" t="s">
        <v>216</v>
      </c>
      <c r="R90" s="375" t="s">
        <v>7</v>
      </c>
      <c r="S90" s="376"/>
      <c r="T90" s="375" t="s">
        <v>216</v>
      </c>
      <c r="U90" s="375" t="s">
        <v>3</v>
      </c>
      <c r="V90" s="376"/>
      <c r="W90" s="375" t="s">
        <v>216</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44684.333333333125</v>
      </c>
      <c r="BZ90" s="387">
        <f ca="1">OFFSET(TblImps[[#This Row],[Servertime]],-1,0)+1/24</f>
        <v>44684.583333333125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44684.374999999789</v>
      </c>
      <c r="M91" s="74">
        <f>IF(ISERROR(TblImps[[#This Row],[algorithm]]),0,TblImps[[#This Row],[algorithm]]*1)</f>
        <v>0</v>
      </c>
      <c r="N91" s="113">
        <f ca="1">TblImps[[#This Row],[Land]]</f>
        <v>250</v>
      </c>
      <c r="O91" s="375" t="s">
        <v>4</v>
      </c>
      <c r="P91" s="376"/>
      <c r="Q91" s="375" t="s">
        <v>216</v>
      </c>
      <c r="R91" s="375" t="s">
        <v>7</v>
      </c>
      <c r="S91" s="376"/>
      <c r="T91" s="375" t="s">
        <v>216</v>
      </c>
      <c r="U91" s="375" t="s">
        <v>3</v>
      </c>
      <c r="V91" s="376"/>
      <c r="W91" s="375" t="s">
        <v>216</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44684.374999999789</v>
      </c>
      <c r="BZ91" s="387">
        <f ca="1">OFFSET(TblImps[[#This Row],[Servertime]],-1,0)+1/24</f>
        <v>44684.624999999789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44684.416666666453</v>
      </c>
      <c r="M92" s="74">
        <f>IF(ISERROR(TblImps[[#This Row],[algorithm]]),0,TblImps[[#This Row],[algorithm]]*1)</f>
        <v>0</v>
      </c>
      <c r="N92" s="113">
        <f ca="1">TblImps[[#This Row],[Land]]</f>
        <v>250</v>
      </c>
      <c r="O92" s="375" t="s">
        <v>4</v>
      </c>
      <c r="P92" s="376"/>
      <c r="Q92" s="375" t="s">
        <v>216</v>
      </c>
      <c r="R92" s="375" t="s">
        <v>7</v>
      </c>
      <c r="S92" s="376"/>
      <c r="T92" s="375" t="s">
        <v>216</v>
      </c>
      <c r="U92" s="375" t="s">
        <v>3</v>
      </c>
      <c r="V92" s="376"/>
      <c r="W92" s="375" t="s">
        <v>216</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44684.416666666453</v>
      </c>
      <c r="BZ92" s="387">
        <f ca="1">OFFSET(TblImps[[#This Row],[Servertime]],-1,0)+1/24</f>
        <v>44684.666666666453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44684.458333333117</v>
      </c>
      <c r="M93" s="74">
        <f>IF(ISERROR(TblImps[[#This Row],[algorithm]]),0,TblImps[[#This Row],[algorithm]]*1)</f>
        <v>0</v>
      </c>
      <c r="N93" s="113">
        <f ca="1">TblImps[[#This Row],[Land]]</f>
        <v>250</v>
      </c>
      <c r="O93" s="375" t="s">
        <v>4</v>
      </c>
      <c r="P93" s="376"/>
      <c r="Q93" s="375" t="s">
        <v>216</v>
      </c>
      <c r="R93" s="375" t="s">
        <v>7</v>
      </c>
      <c r="S93" s="376"/>
      <c r="T93" s="375" t="s">
        <v>216</v>
      </c>
      <c r="U93" s="375" t="s">
        <v>3</v>
      </c>
      <c r="V93" s="376"/>
      <c r="W93" s="375" t="s">
        <v>216</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44684.458333333117</v>
      </c>
      <c r="BZ93" s="387">
        <f ca="1">OFFSET(TblImps[[#This Row],[Servertime]],-1,0)+1/24</f>
        <v>44684.708333333117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44684.499999999782</v>
      </c>
      <c r="M94" s="74">
        <f>IF(ISERROR(TblImps[[#This Row],[algorithm]]),0,TblImps[[#This Row],[algorithm]]*1)</f>
        <v>0</v>
      </c>
      <c r="N94" s="113">
        <f ca="1">TblImps[[#This Row],[Land]]</f>
        <v>250</v>
      </c>
      <c r="O94" s="375" t="s">
        <v>4</v>
      </c>
      <c r="P94" s="376"/>
      <c r="Q94" s="375" t="s">
        <v>216</v>
      </c>
      <c r="R94" s="375" t="s">
        <v>7</v>
      </c>
      <c r="S94" s="376"/>
      <c r="T94" s="375" t="s">
        <v>216</v>
      </c>
      <c r="U94" s="375" t="s">
        <v>3</v>
      </c>
      <c r="V94" s="376"/>
      <c r="W94" s="375" t="s">
        <v>216</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44684.499999999782</v>
      </c>
      <c r="BZ94" s="387">
        <f ca="1">OFFSET(TblImps[[#This Row],[Servertime]],-1,0)+1/24</f>
        <v>44684.749999999782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44684.541666666446</v>
      </c>
      <c r="M95" s="74">
        <f>IF(ISERROR(TblImps[[#This Row],[algorithm]]),0,TblImps[[#This Row],[algorithm]]*1)</f>
        <v>0</v>
      </c>
      <c r="N95" s="113">
        <f ca="1">TblImps[[#This Row],[Land]]</f>
        <v>250</v>
      </c>
      <c r="O95" s="375" t="s">
        <v>4</v>
      </c>
      <c r="P95" s="376"/>
      <c r="Q95" s="375" t="s">
        <v>216</v>
      </c>
      <c r="R95" s="375" t="s">
        <v>7</v>
      </c>
      <c r="S95" s="376"/>
      <c r="T95" s="375" t="s">
        <v>216</v>
      </c>
      <c r="U95" s="375" t="s">
        <v>3</v>
      </c>
      <c r="V95" s="376"/>
      <c r="W95" s="375" t="s">
        <v>216</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44684.541666666446</v>
      </c>
      <c r="BZ95" s="387">
        <f ca="1">OFFSET(TblImps[[#This Row],[Servertime]],-1,0)+1/24</f>
        <v>44684.791666666446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44684.58333333311</v>
      </c>
      <c r="M96" s="74">
        <f>IF(ISERROR(TblImps[[#This Row],[algorithm]]),0,TblImps[[#This Row],[algorithm]]*1)</f>
        <v>0</v>
      </c>
      <c r="N96" s="113">
        <f ca="1">TblImps[[#This Row],[Land]]</f>
        <v>250</v>
      </c>
      <c r="O96" s="375" t="s">
        <v>4</v>
      </c>
      <c r="P96" s="376"/>
      <c r="Q96" s="375" t="s">
        <v>216</v>
      </c>
      <c r="R96" s="375" t="s">
        <v>7</v>
      </c>
      <c r="S96" s="376"/>
      <c r="T96" s="375" t="s">
        <v>216</v>
      </c>
      <c r="U96" s="375" t="s">
        <v>3</v>
      </c>
      <c r="V96" s="376"/>
      <c r="W96" s="375" t="s">
        <v>216</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44684.58333333311</v>
      </c>
      <c r="BZ96" s="387">
        <f ca="1">OFFSET(TblImps[[#This Row],[Servertime]],-1,0)+1/24</f>
        <v>44684.83333333311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44684.624999999774</v>
      </c>
      <c r="M97" s="74">
        <f>IF(ISERROR(TblImps[[#This Row],[algorithm]]),0,TblImps[[#This Row],[algorithm]]*1)</f>
        <v>0</v>
      </c>
      <c r="N97" s="113">
        <f ca="1">TblImps[[#This Row],[Land]]</f>
        <v>250</v>
      </c>
      <c r="O97" s="375" t="s">
        <v>4</v>
      </c>
      <c r="P97" s="376"/>
      <c r="Q97" s="375" t="s">
        <v>216</v>
      </c>
      <c r="R97" s="375" t="s">
        <v>7</v>
      </c>
      <c r="S97" s="376"/>
      <c r="T97" s="375" t="s">
        <v>216</v>
      </c>
      <c r="U97" s="375" t="s">
        <v>3</v>
      </c>
      <c r="V97" s="376"/>
      <c r="W97" s="375" t="s">
        <v>216</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44684.624999999774</v>
      </c>
      <c r="BZ97" s="387">
        <f ca="1">OFFSET(TblImps[[#This Row],[Servertime]],-1,0)+1/24</f>
        <v>44684.874999999774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44684.666666666439</v>
      </c>
      <c r="M98" s="74">
        <f>IF(ISERROR(TblImps[[#This Row],[algorithm]]),0,TblImps[[#This Row],[algorithm]]*1)</f>
        <v>0</v>
      </c>
      <c r="N98" s="113">
        <f ca="1">TblImps[[#This Row],[Land]]</f>
        <v>250</v>
      </c>
      <c r="O98" s="375" t="s">
        <v>4</v>
      </c>
      <c r="P98" s="376"/>
      <c r="Q98" s="375" t="s">
        <v>216</v>
      </c>
      <c r="R98" s="375" t="s">
        <v>7</v>
      </c>
      <c r="S98" s="376"/>
      <c r="T98" s="375" t="s">
        <v>216</v>
      </c>
      <c r="U98" s="375" t="s">
        <v>3</v>
      </c>
      <c r="V98" s="376"/>
      <c r="W98" s="375" t="s">
        <v>216</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44684.666666666439</v>
      </c>
      <c r="BZ98" s="387">
        <f ca="1">OFFSET(TblImps[[#This Row],[Servertime]],-1,0)+1/24</f>
        <v>44684.916666666439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44684.708333333103</v>
      </c>
      <c r="M99" s="74">
        <f>IF(ISERROR(TblImps[[#This Row],[algorithm]]),0,TblImps[[#This Row],[algorithm]]*1)</f>
        <v>0</v>
      </c>
      <c r="N99" s="113">
        <f ca="1">TblImps[[#This Row],[Land]]</f>
        <v>250</v>
      </c>
      <c r="O99" s="375" t="s">
        <v>4</v>
      </c>
      <c r="P99" s="376"/>
      <c r="Q99" s="375" t="s">
        <v>216</v>
      </c>
      <c r="R99" s="375" t="s">
        <v>7</v>
      </c>
      <c r="S99" s="376"/>
      <c r="T99" s="375" t="s">
        <v>216</v>
      </c>
      <c r="U99" s="375" t="s">
        <v>3</v>
      </c>
      <c r="V99" s="376"/>
      <c r="W99" s="375" t="s">
        <v>216</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44684.708333333103</v>
      </c>
      <c r="BZ99" s="387">
        <f ca="1">OFFSET(TblImps[[#This Row],[Servertime]],-1,0)+1/24</f>
        <v>44684.958333333103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44684.749999999767</v>
      </c>
      <c r="M100" s="74">
        <f>IF(ISERROR(TblImps[[#This Row],[algorithm]]),0,TblImps[[#This Row],[algorithm]]*1)</f>
        <v>0</v>
      </c>
      <c r="N100" s="113">
        <f ca="1">TblImps[[#This Row],[Land]]</f>
        <v>250</v>
      </c>
      <c r="O100" s="375" t="s">
        <v>4</v>
      </c>
      <c r="P100" s="376"/>
      <c r="Q100" s="375" t="s">
        <v>216</v>
      </c>
      <c r="R100" s="375" t="s">
        <v>7</v>
      </c>
      <c r="S100" s="376"/>
      <c r="T100" s="375" t="s">
        <v>216</v>
      </c>
      <c r="U100" s="375" t="s">
        <v>3</v>
      </c>
      <c r="V100" s="376"/>
      <c r="W100" s="375" t="s">
        <v>216</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44684.749999999767</v>
      </c>
      <c r="BZ100" s="387">
        <f ca="1">OFFSET(TblImps[[#This Row],[Servertime]],-1,0)+1/24</f>
        <v>44684.999999999767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44684.791666666431</v>
      </c>
      <c r="M101" s="74">
        <f>IF(ISERROR(TblImps[[#This Row],[algorithm]]),0,TblImps[[#This Row],[algorithm]]*1)</f>
        <v>0</v>
      </c>
      <c r="N101" s="113">
        <f ca="1">TblImps[[#This Row],[Land]]</f>
        <v>250</v>
      </c>
      <c r="O101" s="375" t="s">
        <v>4</v>
      </c>
      <c r="P101" s="376"/>
      <c r="Q101" s="375" t="s">
        <v>216</v>
      </c>
      <c r="R101" s="375" t="s">
        <v>7</v>
      </c>
      <c r="S101" s="376"/>
      <c r="T101" s="375" t="s">
        <v>216</v>
      </c>
      <c r="U101" s="375" t="s">
        <v>3</v>
      </c>
      <c r="V101" s="376"/>
      <c r="W101" s="375" t="s">
        <v>216</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44684.791666666431</v>
      </c>
      <c r="BZ101" s="387">
        <f ca="1">OFFSET(TblImps[[#This Row],[Servertime]],-1,0)+1/24</f>
        <v>44685.041666666431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44684.833333333096</v>
      </c>
      <c r="M102" s="74">
        <f>IF(ISERROR(TblImps[[#This Row],[algorithm]]),0,TblImps[[#This Row],[algorithm]]*1)</f>
        <v>0</v>
      </c>
      <c r="N102" s="113">
        <f ca="1">TblImps[[#This Row],[Land]]</f>
        <v>250</v>
      </c>
      <c r="O102" s="375" t="s">
        <v>4</v>
      </c>
      <c r="P102" s="376"/>
      <c r="Q102" s="375" t="s">
        <v>216</v>
      </c>
      <c r="R102" s="375" t="s">
        <v>7</v>
      </c>
      <c r="S102" s="376"/>
      <c r="T102" s="375" t="s">
        <v>216</v>
      </c>
      <c r="U102" s="375" t="s">
        <v>3</v>
      </c>
      <c r="V102" s="376"/>
      <c r="W102" s="375" t="s">
        <v>216</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44684.833333333096</v>
      </c>
      <c r="BZ102" s="387">
        <f ca="1">OFFSET(TblImps[[#This Row],[Servertime]],-1,0)+1/24</f>
        <v>44685.083333333096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44684.87499999976</v>
      </c>
      <c r="M103" s="74">
        <f>IF(ISERROR(TblImps[[#This Row],[algorithm]]),0,TblImps[[#This Row],[algorithm]]*1)</f>
        <v>0</v>
      </c>
      <c r="N103" s="113">
        <f ca="1">TblImps[[#This Row],[Land]]</f>
        <v>250</v>
      </c>
      <c r="O103" s="375" t="s">
        <v>4</v>
      </c>
      <c r="P103" s="376"/>
      <c r="Q103" s="375" t="s">
        <v>216</v>
      </c>
      <c r="R103" s="375" t="s">
        <v>7</v>
      </c>
      <c r="S103" s="376"/>
      <c r="T103" s="375" t="s">
        <v>216</v>
      </c>
      <c r="U103" s="375" t="s">
        <v>3</v>
      </c>
      <c r="V103" s="376"/>
      <c r="W103" s="375" t="s">
        <v>216</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44684.87499999976</v>
      </c>
      <c r="BZ103" s="387">
        <f ca="1">OFFSET(TblImps[[#This Row],[Servertime]],-1,0)+1/24</f>
        <v>44685.12499999976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44684.916666666424</v>
      </c>
      <c r="M104" s="74">
        <f>IF(ISERROR(TblImps[[#This Row],[algorithm]]),0,TblImps[[#This Row],[algorithm]]*1)</f>
        <v>0</v>
      </c>
      <c r="N104" s="113">
        <f ca="1">TblImps[[#This Row],[Land]]</f>
        <v>250</v>
      </c>
      <c r="O104" s="375" t="s">
        <v>4</v>
      </c>
      <c r="P104" s="376"/>
      <c r="Q104" s="375" t="s">
        <v>216</v>
      </c>
      <c r="R104" s="375" t="s">
        <v>7</v>
      </c>
      <c r="S104" s="376"/>
      <c r="T104" s="375" t="s">
        <v>216</v>
      </c>
      <c r="U104" s="375" t="s">
        <v>3</v>
      </c>
      <c r="V104" s="376"/>
      <c r="W104" s="375" t="s">
        <v>216</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44684.916666666424</v>
      </c>
      <c r="BZ104" s="387">
        <f ca="1">OFFSET(TblImps[[#This Row],[Servertime]],-1,0)+1/24</f>
        <v>44685.166666666424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44684.958333333088</v>
      </c>
      <c r="M105" s="74">
        <f>IF(ISERROR(TblImps[[#This Row],[algorithm]]),0,TblImps[[#This Row],[algorithm]]*1)</f>
        <v>0</v>
      </c>
      <c r="N105" s="113">
        <f ca="1">TblImps[[#This Row],[Land]]</f>
        <v>250</v>
      </c>
      <c r="O105" s="375" t="s">
        <v>4</v>
      </c>
      <c r="P105" s="376"/>
      <c r="Q105" s="375" t="s">
        <v>216</v>
      </c>
      <c r="R105" s="375" t="s">
        <v>7</v>
      </c>
      <c r="S105" s="376"/>
      <c r="T105" s="375" t="s">
        <v>216</v>
      </c>
      <c r="U105" s="375" t="s">
        <v>3</v>
      </c>
      <c r="V105" s="376"/>
      <c r="W105" s="375" t="s">
        <v>216</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44684.958333333088</v>
      </c>
      <c r="BZ105" s="387">
        <f ca="1">OFFSET(TblImps[[#This Row],[Servertime]],-1,0)+1/24</f>
        <v>44685.208333333088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44684.999999999753</v>
      </c>
      <c r="M106" s="74">
        <f>IF(ISERROR(TblImps[[#This Row],[algorithm]]),0,TblImps[[#This Row],[algorithm]]*1)</f>
        <v>0</v>
      </c>
      <c r="N106" s="113">
        <f ca="1">TblImps[[#This Row],[Land]]</f>
        <v>250</v>
      </c>
      <c r="O106" s="375" t="s">
        <v>4</v>
      </c>
      <c r="P106" s="376"/>
      <c r="Q106" s="375" t="s">
        <v>216</v>
      </c>
      <c r="R106" s="375" t="s">
        <v>7</v>
      </c>
      <c r="S106" s="376"/>
      <c r="T106" s="375" t="s">
        <v>216</v>
      </c>
      <c r="U106" s="375" t="s">
        <v>3</v>
      </c>
      <c r="V106" s="376"/>
      <c r="W106" s="375" t="s">
        <v>216</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44684.999999999753</v>
      </c>
      <c r="BZ106" s="387">
        <f ca="1">OFFSET(TblImps[[#This Row],[Servertime]],-1,0)+1/24</f>
        <v>44685.249999999753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44685.041666666417</v>
      </c>
      <c r="M107" s="74">
        <f>IF(ISERROR(TblImps[[#This Row],[algorithm]]),0,TblImps[[#This Row],[algorithm]]*1)</f>
        <v>0</v>
      </c>
      <c r="N107" s="113">
        <f ca="1">TblImps[[#This Row],[Land]]</f>
        <v>250</v>
      </c>
      <c r="O107" s="375" t="s">
        <v>4</v>
      </c>
      <c r="P107" s="376"/>
      <c r="Q107" s="375" t="s">
        <v>216</v>
      </c>
      <c r="R107" s="375" t="s">
        <v>7</v>
      </c>
      <c r="S107" s="376"/>
      <c r="T107" s="375" t="s">
        <v>216</v>
      </c>
      <c r="U107" s="375" t="s">
        <v>3</v>
      </c>
      <c r="V107" s="376"/>
      <c r="W107" s="375" t="s">
        <v>216</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44685.041666666417</v>
      </c>
      <c r="BZ107" s="387">
        <f ca="1">OFFSET(TblImps[[#This Row],[Servertime]],-1,0)+1/24</f>
        <v>44685.291666666417</v>
      </c>
      <c r="CA107" s="141"/>
      <c r="CB107" s="385"/>
      <c r="CC107" s="385"/>
      <c r="CD107" s="59" t="s">
        <v>214</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44685.083333333081</v>
      </c>
      <c r="M108" s="74">
        <f>IF(ISERROR(TblImps[[#This Row],[algorithm]]),0,TblImps[[#This Row],[algorithm]]*1)</f>
        <v>0</v>
      </c>
      <c r="N108" s="113">
        <f ca="1">TblImps[[#This Row],[Land]]</f>
        <v>250</v>
      </c>
      <c r="O108" s="375" t="s">
        <v>4</v>
      </c>
      <c r="P108" s="376"/>
      <c r="Q108" s="375" t="s">
        <v>216</v>
      </c>
      <c r="R108" s="375" t="s">
        <v>7</v>
      </c>
      <c r="S108" s="376"/>
      <c r="T108" s="375" t="s">
        <v>216</v>
      </c>
      <c r="U108" s="375" t="s">
        <v>3</v>
      </c>
      <c r="V108" s="376"/>
      <c r="W108" s="375" t="s">
        <v>216</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44685.083333333081</v>
      </c>
      <c r="BZ108" s="387">
        <f ca="1">OFFSET(TblImps[[#This Row],[Servertime]],-1,0)+1/24</f>
        <v>44685.333333333081</v>
      </c>
      <c r="CA108" s="141"/>
      <c r="CB108" s="385"/>
      <c r="CC108" s="385"/>
      <c r="CD108" s="59" t="s">
        <v>216</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44685.124999999745</v>
      </c>
      <c r="M109" s="74">
        <f>IF(ISERROR(TblImps[[#This Row],[algorithm]]),0,TblImps[[#This Row],[algorithm]]*1)</f>
        <v>0</v>
      </c>
      <c r="N109" s="113">
        <f ca="1">TblImps[[#This Row],[Land]]</f>
        <v>250</v>
      </c>
      <c r="O109" s="375" t="s">
        <v>4</v>
      </c>
      <c r="P109" s="376"/>
      <c r="Q109" s="375" t="s">
        <v>216</v>
      </c>
      <c r="R109" s="375" t="s">
        <v>7</v>
      </c>
      <c r="S109" s="376"/>
      <c r="T109" s="375" t="s">
        <v>216</v>
      </c>
      <c r="U109" s="375" t="s">
        <v>3</v>
      </c>
      <c r="V109" s="376"/>
      <c r="W109" s="375" t="s">
        <v>216</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44685.124999999745</v>
      </c>
      <c r="BZ109" s="387">
        <f ca="1">OFFSET(TblImps[[#This Row],[Servertime]],-1,0)+1/24</f>
        <v>44685.374999999745</v>
      </c>
      <c r="CA109" s="141"/>
      <c r="CB109" s="385"/>
      <c r="CC109" s="385"/>
      <c r="CD109" s="59" t="s">
        <v>217</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44685.16666666641</v>
      </c>
      <c r="M110" s="74">
        <f>IF(ISERROR(TblImps[[#This Row],[algorithm]]),0,TblImps[[#This Row],[algorithm]]*1)</f>
        <v>0</v>
      </c>
      <c r="N110" s="113">
        <f ca="1">TblImps[[#This Row],[Land]]</f>
        <v>250</v>
      </c>
      <c r="O110" s="375" t="s">
        <v>4</v>
      </c>
      <c r="P110" s="376"/>
      <c r="Q110" s="375" t="s">
        <v>216</v>
      </c>
      <c r="R110" s="375" t="s">
        <v>7</v>
      </c>
      <c r="S110" s="376"/>
      <c r="T110" s="375" t="s">
        <v>216</v>
      </c>
      <c r="U110" s="375" t="s">
        <v>3</v>
      </c>
      <c r="V110" s="376"/>
      <c r="W110" s="375" t="s">
        <v>216</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44685.16666666641</v>
      </c>
      <c r="BZ110" s="387">
        <f ca="1">OFFSET(TblImps[[#This Row],[Servertime]],-1,0)+1/24</f>
        <v>44685.41666666641</v>
      </c>
      <c r="CA110" s="141"/>
      <c r="CB110" s="385"/>
      <c r="CC110" s="385"/>
      <c r="CD110" s="59" t="s">
        <v>218</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44685.208333333074</v>
      </c>
      <c r="M111" s="74">
        <f>IF(ISERROR(TblImps[[#This Row],[algorithm]]),0,TblImps[[#This Row],[algorithm]]*1)</f>
        <v>0</v>
      </c>
      <c r="N111" s="113">
        <f ca="1">TblImps[[#This Row],[Land]]</f>
        <v>250</v>
      </c>
      <c r="O111" s="375" t="s">
        <v>4</v>
      </c>
      <c r="P111" s="376"/>
      <c r="Q111" s="375" t="s">
        <v>216</v>
      </c>
      <c r="R111" s="375" t="s">
        <v>7</v>
      </c>
      <c r="S111" s="376"/>
      <c r="T111" s="375" t="s">
        <v>216</v>
      </c>
      <c r="U111" s="375" t="s">
        <v>3</v>
      </c>
      <c r="V111" s="376"/>
      <c r="W111" s="375" t="s">
        <v>216</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44685.208333333074</v>
      </c>
      <c r="BZ111" s="387">
        <f ca="1">OFFSET(TblImps[[#This Row],[Servertime]],-1,0)+1/24</f>
        <v>44685.458333333074</v>
      </c>
      <c r="CA111" s="141"/>
      <c r="CB111" s="385"/>
      <c r="CC111" s="385"/>
      <c r="CD111" s="49" t="s">
        <v>219</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44685.249999999738</v>
      </c>
      <c r="M112" s="74">
        <f>IF(ISERROR(TblImps[[#This Row],[algorithm]]),0,TblImps[[#This Row],[algorithm]]*1)</f>
        <v>0</v>
      </c>
      <c r="N112" s="113">
        <f ca="1">TblImps[[#This Row],[Land]]</f>
        <v>250</v>
      </c>
      <c r="O112" s="375" t="s">
        <v>4</v>
      </c>
      <c r="P112" s="376"/>
      <c r="Q112" s="375" t="s">
        <v>216</v>
      </c>
      <c r="R112" s="375" t="s">
        <v>7</v>
      </c>
      <c r="S112" s="376"/>
      <c r="T112" s="375" t="s">
        <v>216</v>
      </c>
      <c r="U112" s="375" t="s">
        <v>3</v>
      </c>
      <c r="V112" s="376"/>
      <c r="W112" s="375" t="s">
        <v>216</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44685.249999999738</v>
      </c>
      <c r="BZ112" s="387">
        <f ca="1">OFFSET(TblImps[[#This Row],[Servertime]],-1,0)+1/24</f>
        <v>44685.499999999738</v>
      </c>
      <c r="CA112" s="141"/>
      <c r="CB112" s="385"/>
      <c r="CC112" s="385"/>
      <c r="CD112" s="49" t="s">
        <v>220</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44685.291666666402</v>
      </c>
      <c r="M113" s="74">
        <f>IF(ISERROR(TblImps[[#This Row],[algorithm]]),0,TblImps[[#This Row],[algorithm]]*1)</f>
        <v>0</v>
      </c>
      <c r="N113" s="113">
        <f ca="1">TblImps[[#This Row],[Land]]</f>
        <v>250</v>
      </c>
      <c r="O113" s="375" t="s">
        <v>4</v>
      </c>
      <c r="P113" s="376"/>
      <c r="Q113" s="375" t="s">
        <v>216</v>
      </c>
      <c r="R113" s="375" t="s">
        <v>7</v>
      </c>
      <c r="S113" s="376"/>
      <c r="T113" s="375" t="s">
        <v>216</v>
      </c>
      <c r="U113" s="375" t="s">
        <v>3</v>
      </c>
      <c r="V113" s="376"/>
      <c r="W113" s="375" t="s">
        <v>216</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44685.291666666402</v>
      </c>
      <c r="BZ113" s="387">
        <f ca="1">OFFSET(TblImps[[#This Row],[Servertime]],-1,0)+1/24</f>
        <v>44685.541666666402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44685.333333333067</v>
      </c>
      <c r="M114" s="74">
        <f>IF(ISERROR(TblImps[[#This Row],[algorithm]]),0,TblImps[[#This Row],[algorithm]]*1)</f>
        <v>0</v>
      </c>
      <c r="N114" s="113">
        <f ca="1">TblImps[[#This Row],[Land]]</f>
        <v>250</v>
      </c>
      <c r="O114" s="375" t="s">
        <v>4</v>
      </c>
      <c r="P114" s="376"/>
      <c r="Q114" s="375" t="s">
        <v>216</v>
      </c>
      <c r="R114" s="375" t="s">
        <v>7</v>
      </c>
      <c r="S114" s="376"/>
      <c r="T114" s="375" t="s">
        <v>216</v>
      </c>
      <c r="U114" s="375" t="s">
        <v>3</v>
      </c>
      <c r="V114" s="376"/>
      <c r="W114" s="375" t="s">
        <v>216</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44685.333333333067</v>
      </c>
      <c r="BZ114" s="387">
        <f ca="1">OFFSET(TblImps[[#This Row],[Servertime]],-1,0)+1/24</f>
        <v>44685.583333333067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44685.374999999731</v>
      </c>
      <c r="M115" s="74">
        <f>IF(ISERROR(TblImps[[#This Row],[algorithm]]),0,TblImps[[#This Row],[algorithm]]*1)</f>
        <v>0</v>
      </c>
      <c r="N115" s="113">
        <f ca="1">TblImps[[#This Row],[Land]]</f>
        <v>250</v>
      </c>
      <c r="O115" s="375" t="s">
        <v>4</v>
      </c>
      <c r="P115" s="376"/>
      <c r="Q115" s="375" t="s">
        <v>216</v>
      </c>
      <c r="R115" s="375" t="s">
        <v>7</v>
      </c>
      <c r="S115" s="376"/>
      <c r="T115" s="375" t="s">
        <v>216</v>
      </c>
      <c r="U115" s="375" t="s">
        <v>3</v>
      </c>
      <c r="V115" s="376"/>
      <c r="W115" s="375" t="s">
        <v>216</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44685.374999999731</v>
      </c>
      <c r="BZ115" s="387">
        <f ca="1">OFFSET(TblImps[[#This Row],[Servertime]],-1,0)+1/24</f>
        <v>44685.624999999731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44685.416666666395</v>
      </c>
      <c r="M116" s="74">
        <f>IF(ISERROR(TblImps[[#This Row],[algorithm]]),0,TblImps[[#This Row],[algorithm]]*1)</f>
        <v>0</v>
      </c>
      <c r="N116" s="113">
        <f ca="1">TblImps[[#This Row],[Land]]</f>
        <v>250</v>
      </c>
      <c r="O116" s="375" t="s">
        <v>4</v>
      </c>
      <c r="P116" s="376"/>
      <c r="Q116" s="375" t="s">
        <v>216</v>
      </c>
      <c r="R116" s="375" t="s">
        <v>7</v>
      </c>
      <c r="S116" s="376"/>
      <c r="T116" s="375" t="s">
        <v>216</v>
      </c>
      <c r="U116" s="375" t="s">
        <v>3</v>
      </c>
      <c r="V116" s="376"/>
      <c r="W116" s="375" t="s">
        <v>216</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44685.416666666395</v>
      </c>
      <c r="BZ116" s="387">
        <f ca="1">OFFSET(TblImps[[#This Row],[Servertime]],-1,0)+1/24</f>
        <v>44685.666666666395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44685.458333333059</v>
      </c>
      <c r="M117" s="74">
        <f>IF(ISERROR(TblImps[[#This Row],[algorithm]]),0,TblImps[[#This Row],[algorithm]]*1)</f>
        <v>0</v>
      </c>
      <c r="N117" s="113">
        <f ca="1">TblImps[[#This Row],[Land]]</f>
        <v>250</v>
      </c>
      <c r="O117" s="375" t="s">
        <v>4</v>
      </c>
      <c r="P117" s="376"/>
      <c r="Q117" s="375" t="s">
        <v>216</v>
      </c>
      <c r="R117" s="375" t="s">
        <v>7</v>
      </c>
      <c r="S117" s="376"/>
      <c r="T117" s="375" t="s">
        <v>216</v>
      </c>
      <c r="U117" s="375" t="s">
        <v>3</v>
      </c>
      <c r="V117" s="376"/>
      <c r="W117" s="375" t="s">
        <v>216</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44685.458333333059</v>
      </c>
      <c r="BZ117" s="387">
        <f ca="1">OFFSET(TblImps[[#This Row],[Servertime]],-1,0)+1/24</f>
        <v>44685.708333333059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44685.499999999724</v>
      </c>
      <c r="M118" s="74">
        <f>IF(ISERROR(TblImps[[#This Row],[algorithm]]),0,TblImps[[#This Row],[algorithm]]*1)</f>
        <v>0</v>
      </c>
      <c r="N118" s="113">
        <f ca="1">TblImps[[#This Row],[Land]]</f>
        <v>250</v>
      </c>
      <c r="O118" s="375" t="s">
        <v>4</v>
      </c>
      <c r="P118" s="376"/>
      <c r="Q118" s="375" t="s">
        <v>216</v>
      </c>
      <c r="R118" s="375" t="s">
        <v>7</v>
      </c>
      <c r="S118" s="376"/>
      <c r="T118" s="375" t="s">
        <v>216</v>
      </c>
      <c r="U118" s="375" t="s">
        <v>3</v>
      </c>
      <c r="V118" s="376"/>
      <c r="W118" s="375" t="s">
        <v>216</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44685.499999999724</v>
      </c>
      <c r="BZ118" s="387">
        <f ca="1">OFFSET(TblImps[[#This Row],[Servertime]],-1,0)+1/24</f>
        <v>44685.749999999724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44685.541666666388</v>
      </c>
      <c r="M119" s="74">
        <f>IF(ISERROR(TblImps[[#This Row],[algorithm]]),0,TblImps[[#This Row],[algorithm]]*1)</f>
        <v>0</v>
      </c>
      <c r="N119" s="113">
        <f ca="1">TblImps[[#This Row],[Land]]</f>
        <v>250</v>
      </c>
      <c r="O119" s="375" t="s">
        <v>4</v>
      </c>
      <c r="P119" s="376"/>
      <c r="Q119" s="375" t="s">
        <v>216</v>
      </c>
      <c r="R119" s="375" t="s">
        <v>7</v>
      </c>
      <c r="S119" s="376"/>
      <c r="T119" s="375" t="s">
        <v>216</v>
      </c>
      <c r="U119" s="375" t="s">
        <v>3</v>
      </c>
      <c r="V119" s="376"/>
      <c r="W119" s="375" t="s">
        <v>216</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44685.541666666388</v>
      </c>
      <c r="BZ119" s="387">
        <f ca="1">OFFSET(TblImps[[#This Row],[Servertime]],-1,0)+1/24</f>
        <v>44685.791666666388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44685.583333333052</v>
      </c>
      <c r="M120" s="74">
        <f>IF(ISERROR(TblImps[[#This Row],[algorithm]]),0,TblImps[[#This Row],[algorithm]]*1)</f>
        <v>0</v>
      </c>
      <c r="N120" s="113">
        <f ca="1">TblImps[[#This Row],[Land]]</f>
        <v>250</v>
      </c>
      <c r="O120" s="375" t="s">
        <v>4</v>
      </c>
      <c r="P120" s="376"/>
      <c r="Q120" s="375" t="s">
        <v>216</v>
      </c>
      <c r="R120" s="375" t="s">
        <v>7</v>
      </c>
      <c r="S120" s="376"/>
      <c r="T120" s="375" t="s">
        <v>216</v>
      </c>
      <c r="U120" s="375" t="s">
        <v>3</v>
      </c>
      <c r="V120" s="376"/>
      <c r="W120" s="375" t="s">
        <v>216</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44685.583333333052</v>
      </c>
      <c r="BZ120" s="387">
        <f ca="1">OFFSET(TblImps[[#This Row],[Servertime]],-1,0)+1/24</f>
        <v>44685.833333333052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44685.624999999716</v>
      </c>
      <c r="M121" s="74">
        <f>IF(ISERROR(TblImps[[#This Row],[algorithm]]),0,TblImps[[#This Row],[algorithm]]*1)</f>
        <v>0</v>
      </c>
      <c r="N121" s="113">
        <f ca="1">TblImps[[#This Row],[Land]]</f>
        <v>250</v>
      </c>
      <c r="O121" s="375" t="s">
        <v>4</v>
      </c>
      <c r="P121" s="376"/>
      <c r="Q121" s="375" t="s">
        <v>216</v>
      </c>
      <c r="R121" s="375" t="s">
        <v>7</v>
      </c>
      <c r="S121" s="376"/>
      <c r="T121" s="375" t="s">
        <v>216</v>
      </c>
      <c r="U121" s="375" t="s">
        <v>3</v>
      </c>
      <c r="V121" s="376"/>
      <c r="W121" s="375" t="s">
        <v>216</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44685.624999999716</v>
      </c>
      <c r="BZ121" s="387">
        <f ca="1">OFFSET(TblImps[[#This Row],[Servertime]],-1,0)+1/24</f>
        <v>44685.874999999716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44685.66666666638</v>
      </c>
      <c r="M122" s="74">
        <f>IF(ISERROR(TblImps[[#This Row],[algorithm]]),0,TblImps[[#This Row],[algorithm]]*1)</f>
        <v>0</v>
      </c>
      <c r="N122" s="113">
        <f ca="1">TblImps[[#This Row],[Land]]</f>
        <v>250</v>
      </c>
      <c r="O122" s="375" t="s">
        <v>4</v>
      </c>
      <c r="P122" s="376"/>
      <c r="Q122" s="375" t="s">
        <v>216</v>
      </c>
      <c r="R122" s="375" t="s">
        <v>7</v>
      </c>
      <c r="S122" s="376"/>
      <c r="T122" s="375" t="s">
        <v>216</v>
      </c>
      <c r="U122" s="375" t="s">
        <v>3</v>
      </c>
      <c r="V122" s="376"/>
      <c r="W122" s="375" t="s">
        <v>216</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44685.66666666638</v>
      </c>
      <c r="BZ122" s="387">
        <f ca="1">OFFSET(TblImps[[#This Row],[Servertime]],-1,0)+1/24</f>
        <v>44685.91666666638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44685.708333333045</v>
      </c>
      <c r="M123" s="74">
        <f>IF(ISERROR(TblImps[[#This Row],[algorithm]]),0,TblImps[[#This Row],[algorithm]]*1)</f>
        <v>0</v>
      </c>
      <c r="N123" s="113">
        <f ca="1">TblImps[[#This Row],[Land]]</f>
        <v>250</v>
      </c>
      <c r="O123" s="375" t="s">
        <v>4</v>
      </c>
      <c r="P123" s="376"/>
      <c r="Q123" s="375" t="s">
        <v>216</v>
      </c>
      <c r="R123" s="375" t="s">
        <v>7</v>
      </c>
      <c r="S123" s="376"/>
      <c r="T123" s="375" t="s">
        <v>216</v>
      </c>
      <c r="U123" s="375" t="s">
        <v>3</v>
      </c>
      <c r="V123" s="376"/>
      <c r="W123" s="375" t="s">
        <v>216</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44685.708333333045</v>
      </c>
      <c r="BZ123" s="387">
        <f ca="1">OFFSET(TblImps[[#This Row],[Servertime]],-1,0)+1/24</f>
        <v>44685.958333333045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44685.749999999709</v>
      </c>
      <c r="M124" s="74">
        <f>IF(ISERROR(TblImps[[#This Row],[algorithm]]),0,TblImps[[#This Row],[algorithm]]*1)</f>
        <v>0</v>
      </c>
      <c r="N124" s="113">
        <f ca="1">TblImps[[#This Row],[Land]]</f>
        <v>250</v>
      </c>
      <c r="O124" s="375" t="s">
        <v>4</v>
      </c>
      <c r="P124" s="376"/>
      <c r="Q124" s="375" t="s">
        <v>216</v>
      </c>
      <c r="R124" s="375" t="s">
        <v>7</v>
      </c>
      <c r="S124" s="376"/>
      <c r="T124" s="375" t="s">
        <v>216</v>
      </c>
      <c r="U124" s="375" t="s">
        <v>3</v>
      </c>
      <c r="V124" s="376"/>
      <c r="W124" s="375" t="s">
        <v>216</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44685.749999999709</v>
      </c>
      <c r="BZ124" s="387">
        <f ca="1">OFFSET(TblImps[[#This Row],[Servertime]],-1,0)+1/24</f>
        <v>44685.999999999709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44685.791666666373</v>
      </c>
      <c r="M125" s="74">
        <f>IF(ISERROR(TblImps[[#This Row],[algorithm]]),0,TblImps[[#This Row],[algorithm]]*1)</f>
        <v>0</v>
      </c>
      <c r="N125" s="113">
        <f ca="1">TblImps[[#This Row],[Land]]</f>
        <v>250</v>
      </c>
      <c r="O125" s="375" t="s">
        <v>4</v>
      </c>
      <c r="P125" s="376"/>
      <c r="Q125" s="375" t="s">
        <v>216</v>
      </c>
      <c r="R125" s="375" t="s">
        <v>7</v>
      </c>
      <c r="S125" s="376"/>
      <c r="T125" s="375" t="s">
        <v>216</v>
      </c>
      <c r="U125" s="375" t="s">
        <v>3</v>
      </c>
      <c r="V125" s="376"/>
      <c r="W125" s="375" t="s">
        <v>216</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44685.791666666373</v>
      </c>
      <c r="BZ125" s="387">
        <f ca="1">OFFSET(TblImps[[#This Row],[Servertime]],-1,0)+1/24</f>
        <v>44686.041666666373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44685.833333333037</v>
      </c>
      <c r="M126" s="74">
        <f>IF(ISERROR(TblImps[[#This Row],[algorithm]]),0,TblImps[[#This Row],[algorithm]]*1)</f>
        <v>0</v>
      </c>
      <c r="N126" s="113">
        <f ca="1">TblImps[[#This Row],[Land]]</f>
        <v>250</v>
      </c>
      <c r="O126" s="375" t="s">
        <v>4</v>
      </c>
      <c r="P126" s="376"/>
      <c r="Q126" s="375" t="s">
        <v>216</v>
      </c>
      <c r="R126" s="375" t="s">
        <v>7</v>
      </c>
      <c r="S126" s="376"/>
      <c r="T126" s="375" t="s">
        <v>216</v>
      </c>
      <c r="U126" s="375" t="s">
        <v>3</v>
      </c>
      <c r="V126" s="376"/>
      <c r="W126" s="375" t="s">
        <v>216</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44685.833333333037</v>
      </c>
      <c r="BZ126" s="387">
        <f ca="1">OFFSET(TblImps[[#This Row],[Servertime]],-1,0)+1/24</f>
        <v>44686.083333333037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44685.874999999702</v>
      </c>
      <c r="M127" s="74">
        <f>IF(ISERROR(TblImps[[#This Row],[algorithm]]),0,TblImps[[#This Row],[algorithm]]*1)</f>
        <v>0</v>
      </c>
      <c r="N127" s="113">
        <f ca="1">TblImps[[#This Row],[Land]]</f>
        <v>250</v>
      </c>
      <c r="O127" s="375" t="s">
        <v>4</v>
      </c>
      <c r="P127" s="376"/>
      <c r="Q127" s="375" t="s">
        <v>216</v>
      </c>
      <c r="R127" s="375" t="s">
        <v>7</v>
      </c>
      <c r="S127" s="376"/>
      <c r="T127" s="375" t="s">
        <v>216</v>
      </c>
      <c r="U127" s="375" t="s">
        <v>3</v>
      </c>
      <c r="V127" s="376"/>
      <c r="W127" s="375" t="s">
        <v>216</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44685.874999999702</v>
      </c>
      <c r="BZ127" s="387">
        <f ca="1">OFFSET(TblImps[[#This Row],[Servertime]],-1,0)+1/24</f>
        <v>44686.124999999702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44685.916666666366</v>
      </c>
      <c r="M128" s="74">
        <f>IF(ISERROR(TblImps[[#This Row],[algorithm]]),0,TblImps[[#This Row],[algorithm]]*1)</f>
        <v>0</v>
      </c>
      <c r="N128" s="113">
        <f ca="1">TblImps[[#This Row],[Land]]</f>
        <v>250</v>
      </c>
      <c r="O128" s="375" t="s">
        <v>4</v>
      </c>
      <c r="P128" s="376"/>
      <c r="Q128" s="375" t="s">
        <v>216</v>
      </c>
      <c r="R128" s="375" t="s">
        <v>7</v>
      </c>
      <c r="S128" s="376"/>
      <c r="T128" s="375" t="s">
        <v>216</v>
      </c>
      <c r="U128" s="375" t="s">
        <v>3</v>
      </c>
      <c r="V128" s="376"/>
      <c r="W128" s="375" t="s">
        <v>216</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44685.916666666366</v>
      </c>
      <c r="BZ128" s="387">
        <f ca="1">OFFSET(TblImps[[#This Row],[Servertime]],-1,0)+1/24</f>
        <v>44686.166666666366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44685.95833333303</v>
      </c>
      <c r="M129" s="74">
        <f>IF(ISERROR(TblImps[[#This Row],[algorithm]]),0,TblImps[[#This Row],[algorithm]]*1)</f>
        <v>0</v>
      </c>
      <c r="N129" s="113">
        <f ca="1">TblImps[[#This Row],[Land]]</f>
        <v>250</v>
      </c>
      <c r="O129" s="375" t="s">
        <v>4</v>
      </c>
      <c r="P129" s="376"/>
      <c r="Q129" s="375" t="s">
        <v>216</v>
      </c>
      <c r="R129" s="375" t="s">
        <v>7</v>
      </c>
      <c r="S129" s="376"/>
      <c r="T129" s="375" t="s">
        <v>216</v>
      </c>
      <c r="U129" s="375" t="s">
        <v>3</v>
      </c>
      <c r="V129" s="376"/>
      <c r="W129" s="375" t="s">
        <v>216</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44685.95833333303</v>
      </c>
      <c r="BZ129" s="387">
        <f ca="1">OFFSET(TblImps[[#This Row],[Servertime]],-1,0)+1/24</f>
        <v>44686.20833333303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44685.999999999694</v>
      </c>
      <c r="M130" s="74">
        <f>IF(ISERROR(TblImps[[#This Row],[algorithm]]),0,TblImps[[#This Row],[algorithm]]*1)</f>
        <v>0</v>
      </c>
      <c r="N130" s="113">
        <f ca="1">TblImps[[#This Row],[Land]]</f>
        <v>250</v>
      </c>
      <c r="O130" s="375" t="s">
        <v>4</v>
      </c>
      <c r="P130" s="376"/>
      <c r="Q130" s="375" t="s">
        <v>216</v>
      </c>
      <c r="R130" s="375" t="s">
        <v>7</v>
      </c>
      <c r="S130" s="376"/>
      <c r="T130" s="375" t="s">
        <v>216</v>
      </c>
      <c r="U130" s="375" t="s">
        <v>3</v>
      </c>
      <c r="V130" s="376"/>
      <c r="W130" s="375" t="s">
        <v>216</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44685.999999999694</v>
      </c>
      <c r="BZ130" s="387">
        <f ca="1">OFFSET(TblImps[[#This Row],[Servertime]],-1,0)+1/24</f>
        <v>44686.249999999694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44686.041666666359</v>
      </c>
      <c r="M131" s="74">
        <f>IF(ISERROR(TblImps[[#This Row],[algorithm]]),0,TblImps[[#This Row],[algorithm]]*1)</f>
        <v>0</v>
      </c>
      <c r="N131" s="113">
        <f ca="1">TblImps[[#This Row],[Land]]</f>
        <v>250</v>
      </c>
      <c r="O131" s="375" t="s">
        <v>4</v>
      </c>
      <c r="P131" s="376"/>
      <c r="Q131" s="375" t="s">
        <v>216</v>
      </c>
      <c r="R131" s="375" t="s">
        <v>7</v>
      </c>
      <c r="S131" s="376"/>
      <c r="T131" s="375" t="s">
        <v>216</v>
      </c>
      <c r="U131" s="375" t="s">
        <v>3</v>
      </c>
      <c r="V131" s="376"/>
      <c r="W131" s="375" t="s">
        <v>216</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44686.041666666359</v>
      </c>
      <c r="BZ131" s="387">
        <f ca="1">OFFSET(TblImps[[#This Row],[Servertime]],-1,0)+1/24</f>
        <v>44686.291666666359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44686.083333333023</v>
      </c>
      <c r="M132" s="74">
        <f>IF(ISERROR(TblImps[[#This Row],[algorithm]]),0,TblImps[[#This Row],[algorithm]]*1)</f>
        <v>0</v>
      </c>
      <c r="N132" s="113">
        <f ca="1">TblImps[[#This Row],[Land]]</f>
        <v>250</v>
      </c>
      <c r="O132" s="375" t="s">
        <v>4</v>
      </c>
      <c r="P132" s="376"/>
      <c r="Q132" s="375" t="s">
        <v>216</v>
      </c>
      <c r="R132" s="375" t="s">
        <v>7</v>
      </c>
      <c r="S132" s="376"/>
      <c r="T132" s="375" t="s">
        <v>216</v>
      </c>
      <c r="U132" s="375" t="s">
        <v>3</v>
      </c>
      <c r="V132" s="376"/>
      <c r="W132" s="375" t="s">
        <v>216</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44686.083333333023</v>
      </c>
      <c r="BZ132" s="387">
        <f ca="1">OFFSET(TblImps[[#This Row],[Servertime]],-1,0)+1/24</f>
        <v>44686.333333333023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44686.124999999687</v>
      </c>
      <c r="M133" s="74">
        <f>IF(ISERROR(TblImps[[#This Row],[algorithm]]),0,TblImps[[#This Row],[algorithm]]*1)</f>
        <v>0</v>
      </c>
      <c r="N133" s="113">
        <f ca="1">TblImps[[#This Row],[Land]]</f>
        <v>250</v>
      </c>
      <c r="O133" s="375" t="s">
        <v>4</v>
      </c>
      <c r="P133" s="376"/>
      <c r="Q133" s="375" t="s">
        <v>216</v>
      </c>
      <c r="R133" s="375" t="s">
        <v>7</v>
      </c>
      <c r="S133" s="376"/>
      <c r="T133" s="375" t="s">
        <v>216</v>
      </c>
      <c r="U133" s="375" t="s">
        <v>3</v>
      </c>
      <c r="V133" s="376"/>
      <c r="W133" s="375" t="s">
        <v>216</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44686.124999999687</v>
      </c>
      <c r="BZ133" s="387">
        <f ca="1">OFFSET(TblImps[[#This Row],[Servertime]],-1,0)+1/24</f>
        <v>44686.374999999687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44686.166666666351</v>
      </c>
      <c r="M134" s="74">
        <f>IF(ISERROR(TblImps[[#This Row],[algorithm]]),0,TblImps[[#This Row],[algorithm]]*1)</f>
        <v>0</v>
      </c>
      <c r="N134" s="113">
        <f ca="1">TblImps[[#This Row],[Land]]</f>
        <v>250</v>
      </c>
      <c r="O134" s="375" t="s">
        <v>4</v>
      </c>
      <c r="P134" s="376"/>
      <c r="Q134" s="375" t="s">
        <v>216</v>
      </c>
      <c r="R134" s="375" t="s">
        <v>7</v>
      </c>
      <c r="S134" s="376"/>
      <c r="T134" s="375" t="s">
        <v>216</v>
      </c>
      <c r="U134" s="375" t="s">
        <v>3</v>
      </c>
      <c r="V134" s="376"/>
      <c r="W134" s="375" t="s">
        <v>216</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44686.166666666351</v>
      </c>
      <c r="BZ134" s="387">
        <f ca="1">OFFSET(TblImps[[#This Row],[Servertime]],-1,0)+1/24</f>
        <v>44686.416666666351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44686.208333333016</v>
      </c>
      <c r="M135" s="74">
        <f>IF(ISERROR(TblImps[[#This Row],[algorithm]]),0,TblImps[[#This Row],[algorithm]]*1)</f>
        <v>0</v>
      </c>
      <c r="N135" s="113">
        <f ca="1">TblImps[[#This Row],[Land]]</f>
        <v>250</v>
      </c>
      <c r="O135" s="375" t="s">
        <v>4</v>
      </c>
      <c r="P135" s="376"/>
      <c r="Q135" s="375" t="s">
        <v>216</v>
      </c>
      <c r="R135" s="375" t="s">
        <v>7</v>
      </c>
      <c r="S135" s="376"/>
      <c r="T135" s="375" t="s">
        <v>216</v>
      </c>
      <c r="U135" s="375" t="s">
        <v>3</v>
      </c>
      <c r="V135" s="376"/>
      <c r="W135" s="375" t="s">
        <v>216</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44686.208333333016</v>
      </c>
      <c r="BZ135" s="387">
        <f ca="1">OFFSET(TblImps[[#This Row],[Servertime]],-1,0)+1/24</f>
        <v>44686.458333333016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44686.24999999968</v>
      </c>
      <c r="M136" s="74">
        <f>IF(ISERROR(TblImps[[#This Row],[algorithm]]),0,TblImps[[#This Row],[algorithm]]*1)</f>
        <v>0</v>
      </c>
      <c r="N136" s="113">
        <f ca="1">TblImps[[#This Row],[Land]]</f>
        <v>250</v>
      </c>
      <c r="O136" s="375" t="s">
        <v>4</v>
      </c>
      <c r="P136" s="376"/>
      <c r="Q136" s="375" t="s">
        <v>216</v>
      </c>
      <c r="R136" s="375" t="s">
        <v>7</v>
      </c>
      <c r="S136" s="376"/>
      <c r="T136" s="375" t="s">
        <v>216</v>
      </c>
      <c r="U136" s="375" t="s">
        <v>3</v>
      </c>
      <c r="V136" s="376"/>
      <c r="W136" s="375" t="s">
        <v>216</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44686.24999999968</v>
      </c>
      <c r="BZ136" s="387">
        <f ca="1">OFFSET(TblImps[[#This Row],[Servertime]],-1,0)+1/24</f>
        <v>44686.49999999968</v>
      </c>
      <c r="CA136" s="141"/>
      <c r="CB136" s="385"/>
      <c r="CC136" s="385"/>
    </row>
    <row r="1269" spans="2:23" x14ac:dyDescent="0.2">
      <c r="B1269" s="593" t="s">
        <v>321</v>
      </c>
      <c r="C1269" s="549"/>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2" priority="8" stopIfTrue="1">
      <formula>ROW()-2=#REF!</formula>
    </cfRule>
  </conditionalFormatting>
  <conditionalFormatting sqref="A1269:CC1269">
    <cfRule type="expression" dxfId="11" priority="9" stopIfTrue="1">
      <formula>$B$1270&gt;84</formula>
    </cfRule>
  </conditionalFormatting>
  <conditionalFormatting sqref="A1269:XFD1270">
    <cfRule type="expression" dxfId="10" priority="10" stopIfTrue="1">
      <formula>$B$1270&gt;144</formula>
    </cfRule>
  </conditionalFormatting>
  <conditionalFormatting sqref="BV76">
    <cfRule type="expression" dxfId="9" priority="20" stopIfTrue="1">
      <formula>ISERROR(BV76)</formula>
    </cfRule>
  </conditionalFormatting>
  <conditionalFormatting sqref="A4:BZ136">
    <cfRule type="expression" dxfId="8" priority="1" stopIfTrue="1">
      <formula>ROW()-3=$B$1270</formula>
    </cfRule>
    <cfRule type="expression" dxfId="7" priority="2" stopIfTrue="1">
      <formula>OR(ROW()-3=$B$1270,A4&lt;0)</formula>
    </cfRule>
    <cfRule type="expression" dxfId="6" priority="7">
      <formula>$K4=73</formula>
    </cfRule>
    <cfRule type="expression" dxfId="5" priority="12">
      <formula>ROUND(($K4-1)/12,0)=INT($K4-1)/12</formula>
    </cfRule>
  </conditionalFormatting>
  <conditionalFormatting sqref="BV4:BV136">
    <cfRule type="expression" dxfId="4" priority="15" stopIfTrue="1">
      <formula>AND(ROW()-3=$B$1270,ISERROR(BV4))</formula>
    </cfRule>
    <cfRule type="expression" dxfId="3" priority="17" stopIfTrue="1">
      <formula>ISERROR(BV4)</formula>
    </cfRule>
  </conditionalFormatting>
  <conditionalFormatting sqref="A1:XFD3">
    <cfRule type="expression" dxfId="2"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479</v>
      </c>
      <c r="P16" s="42"/>
    </row>
    <row r="27" spans="8:10" ht="12.75" customHeight="1" x14ac:dyDescent="0.2">
      <c r="J27" s="14"/>
    </row>
    <row r="28" spans="8:10" x14ac:dyDescent="0.2">
      <c r="H28" s="30" t="s">
        <v>479</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262</v>
      </c>
      <c r="C2" s="44" t="s">
        <v>1026</v>
      </c>
      <c r="D2" s="44" t="s">
        <v>957</v>
      </c>
      <c r="E2" s="44" t="s">
        <v>1028</v>
      </c>
    </row>
    <row r="3" spans="2:5" ht="15.75" x14ac:dyDescent="0.25">
      <c r="B3" s="43" t="s">
        <v>1005</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1006</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1008</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1007</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1009</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1010</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1011</v>
      </c>
      <c r="C9" s="46" t="s">
        <v>353</v>
      </c>
      <c r="D9" s="43">
        <f>_xlfn.IFNA(INDEX(TblConstr[],MATCH(Log!$I$28,TblConstr[Hour],0),MATCH(TblStats[[#This Row],[Abbr]],TblConstr[#Headers],0)),0)</f>
        <v>0</v>
      </c>
      <c r="E9" s="47" t="e">
        <f>TblStats[[#This Row],[Number]]/INDEX(TblConstr[[Hour]:[Land]],MATCH(Log!$I$28,TblConstr[Hour],0),6)</f>
        <v>#N/A</v>
      </c>
    </row>
    <row r="10" spans="2:5" ht="15.75" x14ac:dyDescent="0.25">
      <c r="B10" s="43" t="s">
        <v>1012</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1013</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1014</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1015</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1016</v>
      </c>
      <c r="C14" s="46" t="s">
        <v>355</v>
      </c>
      <c r="D14" s="43">
        <f>_xlfn.IFNA(INDEX(TblConstr[],MATCH(Log!$I$28,TblConstr[Hour],0),MATCH(TblStats[[#This Row],[Abbr]],TblConstr[#Headers],0)),0)</f>
        <v>0</v>
      </c>
      <c r="E14" s="47" t="e">
        <f>TblStats[[#This Row],[Number]]/INDEX(TblConstr[[Hour]:[Land]],MATCH(Log!$I$28,TblConstr[Hour],0),6)</f>
        <v>#N/A</v>
      </c>
    </row>
    <row r="15" spans="2:5" ht="15.75" x14ac:dyDescent="0.25">
      <c r="B15" s="43" t="s">
        <v>1017</v>
      </c>
      <c r="C15" s="46" t="s">
        <v>358</v>
      </c>
      <c r="D15" s="43">
        <f>_xlfn.IFNA(INDEX(TblConstr[],MATCH(Log!$I$28,TblConstr[Hour],0),MATCH(TblStats[[#This Row],[Abbr]],TblConstr[#Headers],0)),0)</f>
        <v>0</v>
      </c>
      <c r="E15" s="47" t="e">
        <f>TblStats[[#This Row],[Number]]/INDEX(TblConstr[[Hour]:[Land]],MATCH(Log!$I$28,TblConstr[Hour],0),6)</f>
        <v>#N/A</v>
      </c>
    </row>
    <row r="16" spans="2:5" ht="15.75" x14ac:dyDescent="0.25">
      <c r="B16" s="43" t="s">
        <v>1018</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1019</v>
      </c>
      <c r="C17" s="46" t="s">
        <v>356</v>
      </c>
      <c r="D17" s="43">
        <f>_xlfn.IFNA(INDEX(TblConstr[],MATCH(Log!$I$28,TblConstr[Hour],0),MATCH(TblStats[[#This Row],[Abbr]],TblConstr[#Headers],0)),0)</f>
        <v>0</v>
      </c>
      <c r="E17" s="47" t="e">
        <f>TblStats[[#This Row],[Number]]/INDEX(TblConstr[[Hour]:[Land]],MATCH(Log!$I$28,TblConstr[Hour],0),6)</f>
        <v>#N/A</v>
      </c>
    </row>
    <row r="18" spans="2:12" ht="15.75" x14ac:dyDescent="0.25">
      <c r="B18" s="43" t="s">
        <v>1020</v>
      </c>
      <c r="C18" s="46" t="s">
        <v>302</v>
      </c>
      <c r="D18" s="43">
        <f>_xlfn.IFNA(INDEX(TblConstr[],MATCH(Log!$I$28,TblConstr[Hour],0),MATCH(TblStats[[#This Row],[Abbr]],TblConstr[#Headers],0)),0)</f>
        <v>0</v>
      </c>
      <c r="E18" s="47" t="e">
        <f>TblStats[[#This Row],[Number]]/INDEX(TblConstr[[Hour]:[Land]],MATCH(Log!$I$28,TblConstr[Hour],0),6)</f>
        <v>#N/A</v>
      </c>
    </row>
    <row r="19" spans="2:12" ht="15.75" x14ac:dyDescent="0.25">
      <c r="B19" s="43" t="s">
        <v>1021</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1022</v>
      </c>
      <c r="C20" s="46" t="s">
        <v>376</v>
      </c>
      <c r="D20" s="43">
        <f>_xlfn.IFNA(INDEX(TblConstr[],MATCH(Log!$I$28,TblConstr[Hour],0),MATCH(TblStats[[#This Row],[Abbr]],TblConstr[#Headers],0)),0)</f>
        <v>0</v>
      </c>
      <c r="E20" s="47" t="e">
        <f>TblStats[[#This Row],[Number]]/INDEX(TblConstr[[Hour]:[Land]],MATCH(Log!$I$28,TblConstr[Hour],0),6)</f>
        <v>#N/A</v>
      </c>
    </row>
    <row r="21" spans="2:12" ht="15.75" x14ac:dyDescent="0.25">
      <c r="B21" s="43" t="s">
        <v>1023</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1024</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1025</v>
      </c>
      <c r="C23" s="45" t="s">
        <v>1027</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1004</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543</v>
      </c>
      <c r="B11" s="97">
        <v>25</v>
      </c>
      <c r="C11" s="97" t="s">
        <v>8</v>
      </c>
    </row>
    <row r="12" spans="1:6" x14ac:dyDescent="0.2">
      <c r="A12" s="401" t="s">
        <v>67</v>
      </c>
      <c r="B12" s="402">
        <v>1.75</v>
      </c>
      <c r="C12" s="97" t="s">
        <v>518</v>
      </c>
      <c r="D12" s="403">
        <v>0.35</v>
      </c>
      <c r="E12" s="97" t="s">
        <v>443</v>
      </c>
    </row>
    <row r="13" spans="1:6" x14ac:dyDescent="0.2">
      <c r="A13" s="401" t="s">
        <v>65</v>
      </c>
      <c r="B13" s="402">
        <v>1.75</v>
      </c>
      <c r="C13" s="97" t="s">
        <v>519</v>
      </c>
      <c r="D13" s="403">
        <v>0.35</v>
      </c>
      <c r="E13" s="97" t="s">
        <v>443</v>
      </c>
    </row>
    <row r="14" spans="1:6" x14ac:dyDescent="0.2">
      <c r="A14" s="401" t="s">
        <v>488</v>
      </c>
      <c r="B14" s="404">
        <v>0</v>
      </c>
      <c r="C14" s="97" t="s">
        <v>489</v>
      </c>
      <c r="D14" s="405"/>
      <c r="F14" s="403"/>
    </row>
    <row r="15" spans="1:6" x14ac:dyDescent="0.2">
      <c r="B15" s="404">
        <v>3.5</v>
      </c>
      <c r="C15" s="97" t="s">
        <v>490</v>
      </c>
      <c r="D15" s="406">
        <v>0.35</v>
      </c>
      <c r="E15" s="97" t="s">
        <v>443</v>
      </c>
      <c r="F15" s="403"/>
    </row>
    <row r="16" spans="1:6" x14ac:dyDescent="0.2">
      <c r="A16" s="401" t="s">
        <v>485</v>
      </c>
      <c r="B16" s="404">
        <v>0</v>
      </c>
      <c r="C16" s="97" t="s">
        <v>492</v>
      </c>
      <c r="D16" s="406">
        <v>0</v>
      </c>
      <c r="E16" s="97" t="s">
        <v>443</v>
      </c>
      <c r="F16" s="403"/>
    </row>
    <row r="17" spans="1:19" x14ac:dyDescent="0.2">
      <c r="B17" s="404">
        <v>3.5</v>
      </c>
      <c r="C17" s="97" t="s">
        <v>491</v>
      </c>
      <c r="D17" s="406">
        <v>0.35</v>
      </c>
      <c r="E17" s="97" t="s">
        <v>443</v>
      </c>
      <c r="F17" s="403"/>
    </row>
    <row r="18" spans="1:19" x14ac:dyDescent="0.2">
      <c r="B18" s="404">
        <v>15</v>
      </c>
      <c r="C18" s="97" t="s">
        <v>13</v>
      </c>
      <c r="D18" s="406"/>
      <c r="F18" s="403"/>
    </row>
    <row r="19" spans="1:19" x14ac:dyDescent="0.2">
      <c r="A19" s="401" t="s">
        <v>189</v>
      </c>
      <c r="B19" s="404">
        <v>2</v>
      </c>
      <c r="C19" s="97" t="s">
        <v>444</v>
      </c>
      <c r="D19" s="403">
        <v>0.36</v>
      </c>
      <c r="E19" s="97" t="s">
        <v>443</v>
      </c>
    </row>
    <row r="20" spans="1:19" x14ac:dyDescent="0.2">
      <c r="A20" s="401" t="s">
        <v>459</v>
      </c>
      <c r="B20" s="404">
        <v>2.75</v>
      </c>
      <c r="C20" s="97" t="s">
        <v>493</v>
      </c>
    </row>
    <row r="21" spans="1:19" x14ac:dyDescent="0.2">
      <c r="A21" s="401" t="s">
        <v>460</v>
      </c>
      <c r="B21" s="407">
        <v>4</v>
      </c>
      <c r="C21" s="97" t="s">
        <v>461</v>
      </c>
      <c r="D21" s="403">
        <v>0.6</v>
      </c>
      <c r="E21" s="97" t="s">
        <v>443</v>
      </c>
    </row>
    <row r="22" spans="1:19" x14ac:dyDescent="0.2">
      <c r="B22" s="407">
        <v>4</v>
      </c>
      <c r="C22" s="97" t="s">
        <v>462</v>
      </c>
      <c r="D22" s="403">
        <v>0.6</v>
      </c>
      <c r="E22" s="97" t="s">
        <v>443</v>
      </c>
    </row>
    <row r="23" spans="1:19" x14ac:dyDescent="0.2">
      <c r="A23" s="401" t="s">
        <v>1096</v>
      </c>
      <c r="B23" s="407"/>
      <c r="C23" s="97" t="s">
        <v>1097</v>
      </c>
      <c r="D23" s="403">
        <v>0.5</v>
      </c>
      <c r="E23" s="97" t="s">
        <v>443</v>
      </c>
    </row>
    <row r="24" spans="1:19" x14ac:dyDescent="0.2">
      <c r="A24" s="400" t="s">
        <v>80</v>
      </c>
    </row>
    <row r="25" spans="1:19" s="49" customFormat="1" x14ac:dyDescent="0.2">
      <c r="A25" s="408" t="s">
        <v>72</v>
      </c>
      <c r="B25" s="408" t="s">
        <v>71</v>
      </c>
      <c r="C25" s="408" t="s">
        <v>70</v>
      </c>
      <c r="D25" s="408" t="s">
        <v>69</v>
      </c>
      <c r="E25" s="408" t="s">
        <v>68</v>
      </c>
      <c r="F25" s="409" t="s">
        <v>63</v>
      </c>
      <c r="G25" s="409" t="s">
        <v>353</v>
      </c>
      <c r="H25" s="410" t="s">
        <v>64</v>
      </c>
      <c r="I25" s="410" t="s">
        <v>65</v>
      </c>
      <c r="J25" s="411" t="s">
        <v>66</v>
      </c>
      <c r="K25" s="411" t="s">
        <v>67</v>
      </c>
      <c r="L25" s="411" t="s">
        <v>355</v>
      </c>
      <c r="M25" s="412" t="s">
        <v>358</v>
      </c>
      <c r="N25" s="413" t="s">
        <v>74</v>
      </c>
      <c r="O25" s="413" t="s">
        <v>356</v>
      </c>
      <c r="P25" s="413" t="s">
        <v>516</v>
      </c>
      <c r="Q25" s="414" t="s">
        <v>75</v>
      </c>
      <c r="R25" s="414" t="s">
        <v>376</v>
      </c>
      <c r="S25" s="415" t="s">
        <v>76</v>
      </c>
    </row>
    <row r="26" spans="1:19" x14ac:dyDescent="0.2">
      <c r="A26" s="401">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182</v>
      </c>
      <c r="D29" s="419" t="s">
        <v>59</v>
      </c>
      <c r="E29" s="420" t="s">
        <v>60</v>
      </c>
      <c r="F29" s="421" t="s">
        <v>61</v>
      </c>
      <c r="G29" s="422" t="s">
        <v>62</v>
      </c>
    </row>
    <row r="30" spans="1:19" s="6" customFormat="1" x14ac:dyDescent="0.2">
      <c r="A30" s="401">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239</v>
      </c>
      <c r="E32" s="6"/>
      <c r="F32" s="6"/>
      <c r="G32" s="6"/>
      <c r="H32" s="6"/>
      <c r="I32" s="6"/>
      <c r="J32" s="6"/>
      <c r="K32" s="6"/>
      <c r="L32" s="6" t="s">
        <v>401</v>
      </c>
      <c r="M32" s="6"/>
      <c r="N32" s="6"/>
      <c r="O32" s="6"/>
      <c r="P32" s="6"/>
      <c r="Q32" s="6"/>
      <c r="R32" s="6"/>
      <c r="S32" s="6"/>
    </row>
    <row r="33" spans="1:16" x14ac:dyDescent="0.2">
      <c r="A33" s="401" t="s">
        <v>21</v>
      </c>
      <c r="B33" s="97">
        <f>HLOOKUP(1,E33:J37,2)</f>
        <v>1300</v>
      </c>
      <c r="D33" s="97" t="s">
        <v>442</v>
      </c>
      <c r="E33" s="97">
        <v>1</v>
      </c>
      <c r="F33" s="97">
        <v>2</v>
      </c>
      <c r="G33" s="97">
        <v>3</v>
      </c>
      <c r="H33" s="97">
        <v>4</v>
      </c>
      <c r="I33" s="97">
        <v>5</v>
      </c>
      <c r="J33" s="97">
        <v>6</v>
      </c>
      <c r="L33" s="97" t="s">
        <v>391</v>
      </c>
      <c r="M33" s="403">
        <v>0.1</v>
      </c>
      <c r="N33" s="97" t="s">
        <v>402</v>
      </c>
    </row>
    <row r="34" spans="1:16" x14ac:dyDescent="0.2">
      <c r="A34" s="401" t="s">
        <v>24</v>
      </c>
      <c r="B34" s="97">
        <v>100</v>
      </c>
      <c r="D34" s="97" t="s">
        <v>21</v>
      </c>
      <c r="E34" s="154">
        <v>1300</v>
      </c>
      <c r="F34" s="154">
        <v>1390</v>
      </c>
      <c r="G34" s="154">
        <v>1480</v>
      </c>
      <c r="H34" s="154">
        <v>1570</v>
      </c>
      <c r="I34" s="154">
        <v>1660</v>
      </c>
      <c r="J34" s="154">
        <v>1750</v>
      </c>
      <c r="K34" s="154"/>
      <c r="M34" s="403">
        <v>0.05</v>
      </c>
      <c r="N34" s="97" t="s">
        <v>403</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404</v>
      </c>
    </row>
    <row r="36" spans="1:16" x14ac:dyDescent="0.2">
      <c r="A36" s="401" t="str">
        <f>Overview!$A23</f>
        <v>Archer</v>
      </c>
      <c r="B36" s="97">
        <v>150</v>
      </c>
      <c r="D36" s="97" t="s">
        <v>5</v>
      </c>
      <c r="E36" s="154">
        <v>15000</v>
      </c>
      <c r="F36" s="154">
        <v>16000</v>
      </c>
      <c r="G36" s="154">
        <v>17000</v>
      </c>
      <c r="H36" s="154">
        <v>18000</v>
      </c>
      <c r="I36" s="154">
        <v>19000</v>
      </c>
      <c r="J36" s="154">
        <v>20000</v>
      </c>
      <c r="L36" s="97" t="s">
        <v>181</v>
      </c>
      <c r="M36" s="403">
        <v>-0.05</v>
      </c>
      <c r="N36" s="97" t="s">
        <v>405</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406</v>
      </c>
    </row>
    <row r="38" spans="1:16" x14ac:dyDescent="0.2">
      <c r="A38" s="401" t="str">
        <f>Overview!$A25</f>
        <v>Cavalry</v>
      </c>
      <c r="B38" s="97">
        <v>0</v>
      </c>
      <c r="M38" s="403">
        <v>-0.1</v>
      </c>
      <c r="N38" s="97" t="s">
        <v>405</v>
      </c>
      <c r="O38" s="97">
        <v>-2</v>
      </c>
      <c r="P38" s="97" t="s">
        <v>406</v>
      </c>
    </row>
    <row r="39" spans="1:16" x14ac:dyDescent="0.2">
      <c r="A39" s="401" t="s">
        <v>25</v>
      </c>
      <c r="B39" s="97">
        <v>25</v>
      </c>
      <c r="D39" s="97" t="s">
        <v>375</v>
      </c>
      <c r="E39" s="154">
        <v>1</v>
      </c>
      <c r="F39" s="97">
        <v>2</v>
      </c>
      <c r="G39" s="97">
        <v>3</v>
      </c>
      <c r="H39" s="97">
        <v>4</v>
      </c>
      <c r="I39" s="97">
        <v>5</v>
      </c>
      <c r="J39" s="97">
        <v>6</v>
      </c>
      <c r="L39" s="97" t="s">
        <v>284</v>
      </c>
      <c r="M39" s="403">
        <v>-0.1</v>
      </c>
      <c r="N39" s="97" t="s">
        <v>407</v>
      </c>
    </row>
    <row r="40" spans="1:16" x14ac:dyDescent="0.2">
      <c r="A40" s="401" t="s">
        <v>26</v>
      </c>
      <c r="B40" s="97">
        <v>25</v>
      </c>
      <c r="D40" s="97" t="s">
        <v>21</v>
      </c>
      <c r="E40" s="97">
        <v>1200</v>
      </c>
      <c r="F40" s="97">
        <v>1325</v>
      </c>
      <c r="G40" s="97">
        <v>1450</v>
      </c>
      <c r="H40" s="97">
        <v>1575</v>
      </c>
      <c r="I40" s="97">
        <v>1700</v>
      </c>
      <c r="J40" s="97">
        <v>1825</v>
      </c>
      <c r="M40" s="403">
        <v>-0.1</v>
      </c>
      <c r="N40" s="97" t="s">
        <v>408</v>
      </c>
    </row>
    <row r="41" spans="1:16" x14ac:dyDescent="0.2">
      <c r="A41" s="401" t="s">
        <v>27</v>
      </c>
      <c r="B41" s="97">
        <v>0</v>
      </c>
      <c r="D41" s="97" t="s">
        <v>2</v>
      </c>
      <c r="E41" s="97">
        <v>100000</v>
      </c>
      <c r="F41" s="97">
        <v>104750</v>
      </c>
      <c r="G41" s="97">
        <v>109500</v>
      </c>
      <c r="H41" s="97">
        <v>114250</v>
      </c>
      <c r="I41" s="97">
        <v>119000</v>
      </c>
      <c r="J41" s="97">
        <v>123750</v>
      </c>
      <c r="M41" s="403">
        <v>0.02</v>
      </c>
      <c r="N41" s="97" t="s">
        <v>409</v>
      </c>
    </row>
    <row r="42" spans="1:16" x14ac:dyDescent="0.2">
      <c r="D42" s="97" t="s">
        <v>5</v>
      </c>
      <c r="E42" s="97">
        <v>15000</v>
      </c>
      <c r="F42" s="97">
        <v>16000</v>
      </c>
      <c r="G42" s="97">
        <v>17000</v>
      </c>
      <c r="H42" s="97">
        <v>18000</v>
      </c>
      <c r="I42" s="97">
        <v>19000</v>
      </c>
      <c r="J42" s="97">
        <v>20000</v>
      </c>
      <c r="L42" s="97" t="s">
        <v>22</v>
      </c>
      <c r="M42" s="403">
        <v>-0.1</v>
      </c>
      <c r="N42" s="97" t="s">
        <v>410</v>
      </c>
    </row>
    <row r="43" spans="1:16" x14ac:dyDescent="0.2">
      <c r="A43" s="400" t="s">
        <v>78</v>
      </c>
      <c r="D43" s="97" t="s">
        <v>7</v>
      </c>
      <c r="E43" s="97">
        <v>15000</v>
      </c>
      <c r="F43" s="97">
        <v>15450</v>
      </c>
      <c r="G43" s="97">
        <v>15900</v>
      </c>
      <c r="H43" s="97">
        <v>16350</v>
      </c>
      <c r="I43" s="97">
        <v>16800</v>
      </c>
      <c r="J43" s="97">
        <v>17250</v>
      </c>
      <c r="M43" s="403">
        <v>-0.1</v>
      </c>
      <c r="N43" s="97" t="s">
        <v>411</v>
      </c>
    </row>
    <row r="44" spans="1:16" x14ac:dyDescent="0.2">
      <c r="A44" s="401" t="s">
        <v>2</v>
      </c>
      <c r="B44" s="154">
        <f>HLOOKUP(1,E33:J37,3)</f>
        <v>100000</v>
      </c>
      <c r="C44" s="154"/>
      <c r="M44" s="403">
        <v>0.05</v>
      </c>
      <c r="N44" s="97" t="s">
        <v>299</v>
      </c>
    </row>
    <row r="45" spans="1:16" x14ac:dyDescent="0.2">
      <c r="A45" s="401" t="s">
        <v>5</v>
      </c>
      <c r="B45" s="154">
        <f>HLOOKUP(1,E33:J37,4)</f>
        <v>15000</v>
      </c>
      <c r="C45" s="154"/>
      <c r="D45" s="97" t="s">
        <v>447</v>
      </c>
      <c r="L45" s="97" t="s">
        <v>73</v>
      </c>
      <c r="M45" s="403">
        <v>-0.1</v>
      </c>
      <c r="N45" s="97" t="s">
        <v>412</v>
      </c>
    </row>
    <row r="46" spans="1:16" x14ac:dyDescent="0.2">
      <c r="A46" s="401" t="s">
        <v>81</v>
      </c>
      <c r="B46" s="154">
        <f>HLOOKUP(1,E33:J37,5)</f>
        <v>15000</v>
      </c>
      <c r="C46" s="154"/>
      <c r="D46" s="97" t="s">
        <v>21</v>
      </c>
      <c r="E46" s="97">
        <v>100</v>
      </c>
      <c r="M46" s="403">
        <v>-0.2</v>
      </c>
      <c r="N46" s="97" t="s">
        <v>413</v>
      </c>
    </row>
    <row r="47" spans="1:16" x14ac:dyDescent="0.2">
      <c r="A47" s="401" t="s">
        <v>12</v>
      </c>
      <c r="B47" s="154">
        <v>0</v>
      </c>
      <c r="C47" s="154"/>
      <c r="D47" s="97" t="s">
        <v>2</v>
      </c>
      <c r="E47" s="97">
        <v>5000</v>
      </c>
      <c r="M47" s="97">
        <v>1</v>
      </c>
      <c r="N47" s="97" t="s">
        <v>414</v>
      </c>
    </row>
    <row r="48" spans="1:16" x14ac:dyDescent="0.2">
      <c r="A48" s="401" t="s">
        <v>3</v>
      </c>
      <c r="B48" s="154">
        <v>0</v>
      </c>
      <c r="C48" s="154"/>
      <c r="D48" s="97" t="s">
        <v>5</v>
      </c>
      <c r="E48" s="97">
        <v>1500</v>
      </c>
      <c r="L48" s="97" t="s">
        <v>187</v>
      </c>
      <c r="M48" s="403">
        <v>-0.1</v>
      </c>
      <c r="N48" s="97" t="s">
        <v>415</v>
      </c>
    </row>
    <row r="49" spans="1:21" x14ac:dyDescent="0.2">
      <c r="A49" s="401" t="s">
        <v>4</v>
      </c>
      <c r="B49" s="154">
        <v>10000</v>
      </c>
      <c r="C49" s="154"/>
      <c r="D49" s="97" t="s">
        <v>7</v>
      </c>
      <c r="E49" s="97">
        <v>2500</v>
      </c>
      <c r="M49" s="403">
        <v>-0.2</v>
      </c>
      <c r="N49" s="97" t="s">
        <v>416</v>
      </c>
    </row>
    <row r="50" spans="1:21" x14ac:dyDescent="0.2">
      <c r="A50" s="401" t="s">
        <v>82</v>
      </c>
      <c r="B50" s="154">
        <v>0</v>
      </c>
      <c r="C50" s="154"/>
      <c r="D50" s="97" t="s">
        <v>3</v>
      </c>
      <c r="E50" s="97">
        <v>2500</v>
      </c>
      <c r="M50" s="97">
        <v>1</v>
      </c>
      <c r="N50" s="97" t="s">
        <v>417</v>
      </c>
    </row>
    <row r="51" spans="1:21" x14ac:dyDescent="0.2">
      <c r="D51" s="97" t="s">
        <v>12</v>
      </c>
      <c r="E51" s="97">
        <v>1000</v>
      </c>
      <c r="L51" s="97" t="s">
        <v>392</v>
      </c>
      <c r="M51" s="403">
        <v>-0.1</v>
      </c>
      <c r="N51" s="97" t="s">
        <v>418</v>
      </c>
    </row>
    <row r="52" spans="1:21" x14ac:dyDescent="0.2">
      <c r="A52" s="400" t="s">
        <v>86</v>
      </c>
      <c r="D52" s="97" t="s">
        <v>448</v>
      </c>
      <c r="E52" s="97">
        <v>30</v>
      </c>
      <c r="L52" s="97" t="s">
        <v>393</v>
      </c>
      <c r="M52" s="403">
        <v>0.2</v>
      </c>
      <c r="N52" s="97" t="s">
        <v>419</v>
      </c>
      <c r="O52" s="403">
        <v>0.1</v>
      </c>
      <c r="P52" s="97" t="s">
        <v>403</v>
      </c>
    </row>
    <row r="53" spans="1:21" x14ac:dyDescent="0.2">
      <c r="A53" s="401" t="s">
        <v>21</v>
      </c>
      <c r="B53" s="423">
        <v>0.03</v>
      </c>
      <c r="D53" s="97" t="s">
        <v>449</v>
      </c>
      <c r="E53" s="97">
        <v>30</v>
      </c>
      <c r="L53" s="97" t="s">
        <v>394</v>
      </c>
      <c r="M53" s="424">
        <v>0.06</v>
      </c>
      <c r="N53" s="97" t="s">
        <v>409</v>
      </c>
    </row>
    <row r="54" spans="1:21" x14ac:dyDescent="0.2">
      <c r="A54" s="401" t="s">
        <v>24</v>
      </c>
      <c r="B54" s="423">
        <v>0.01</v>
      </c>
      <c r="L54" s="97" t="s">
        <v>395</v>
      </c>
      <c r="M54" s="425">
        <v>0.125</v>
      </c>
      <c r="N54" s="97" t="s">
        <v>404</v>
      </c>
    </row>
    <row r="55" spans="1:21" x14ac:dyDescent="0.2">
      <c r="A55" s="401" t="s">
        <v>14</v>
      </c>
      <c r="B55" s="423">
        <v>0.01</v>
      </c>
      <c r="L55" s="97" t="s">
        <v>396</v>
      </c>
      <c r="M55" s="403">
        <v>-0.3</v>
      </c>
      <c r="N55" s="97" t="s">
        <v>420</v>
      </c>
    </row>
    <row r="56" spans="1:21" x14ac:dyDescent="0.2">
      <c r="A56" s="401" t="s">
        <v>16</v>
      </c>
      <c r="B56" s="423">
        <v>0.01</v>
      </c>
      <c r="L56" s="97" t="s">
        <v>397</v>
      </c>
      <c r="M56" s="403">
        <v>-0.2</v>
      </c>
      <c r="N56" s="97" t="s">
        <v>405</v>
      </c>
      <c r="O56" s="403">
        <v>0.15</v>
      </c>
      <c r="P56" s="97" t="s">
        <v>421</v>
      </c>
    </row>
    <row r="57" spans="1:21" x14ac:dyDescent="0.2">
      <c r="A57" s="401" t="s">
        <v>15</v>
      </c>
      <c r="B57" s="423">
        <v>0.02</v>
      </c>
      <c r="L57" s="97" t="s">
        <v>398</v>
      </c>
      <c r="M57" s="403">
        <v>-0.25</v>
      </c>
      <c r="N57" s="97" t="s">
        <v>422</v>
      </c>
    </row>
    <row r="58" spans="1:21" x14ac:dyDescent="0.2">
      <c r="L58" s="97" t="s">
        <v>399</v>
      </c>
      <c r="M58" s="403">
        <v>0.1</v>
      </c>
      <c r="N58" s="97" t="s">
        <v>299</v>
      </c>
      <c r="O58" s="403">
        <v>0.15</v>
      </c>
      <c r="P58" s="97" t="s">
        <v>423</v>
      </c>
    </row>
    <row r="59" spans="1:21" x14ac:dyDescent="0.2">
      <c r="L59" s="97" t="s">
        <v>400</v>
      </c>
      <c r="M59" s="97">
        <v>3</v>
      </c>
      <c r="N59" s="97" t="s">
        <v>424</v>
      </c>
    </row>
    <row r="60" spans="1:21" x14ac:dyDescent="0.2">
      <c r="A60" s="401" t="s">
        <v>87</v>
      </c>
      <c r="B60" s="97">
        <v>0.25</v>
      </c>
      <c r="C60" s="97" t="s">
        <v>88</v>
      </c>
      <c r="U60" s="424"/>
    </row>
    <row r="61" spans="1:21" x14ac:dyDescent="0.2">
      <c r="A61" s="401" t="s">
        <v>171</v>
      </c>
      <c r="B61" s="97">
        <v>2.7</v>
      </c>
      <c r="C61" s="97" t="s">
        <v>172</v>
      </c>
      <c r="T61" s="426"/>
      <c r="U61" s="424"/>
    </row>
    <row r="62" spans="1:21" x14ac:dyDescent="0.2">
      <c r="L62" s="97" t="s">
        <v>33</v>
      </c>
      <c r="M62" s="97">
        <v>6.4</v>
      </c>
      <c r="N62" s="97" t="s">
        <v>478</v>
      </c>
      <c r="U62" s="424"/>
    </row>
    <row r="63" spans="1:21" x14ac:dyDescent="0.2">
      <c r="A63" s="400" t="s">
        <v>174</v>
      </c>
    </row>
    <row r="64" spans="1:21" x14ac:dyDescent="0.2">
      <c r="A64" s="401" t="s">
        <v>350</v>
      </c>
      <c r="B64" s="97">
        <v>35</v>
      </c>
      <c r="C64" s="97" t="s">
        <v>351</v>
      </c>
      <c r="D64" s="97" t="s">
        <v>352</v>
      </c>
      <c r="L64" s="97" t="s">
        <v>477</v>
      </c>
      <c r="M64" s="97">
        <v>3780</v>
      </c>
      <c r="U64" s="403"/>
    </row>
    <row r="65" spans="1:21" x14ac:dyDescent="0.2">
      <c r="A65" s="401" t="s">
        <v>176</v>
      </c>
      <c r="B65" s="97">
        <v>30</v>
      </c>
      <c r="C65" s="97" t="s">
        <v>275</v>
      </c>
    </row>
    <row r="66" spans="1:21" x14ac:dyDescent="0.2">
      <c r="A66" s="401" t="s">
        <v>484</v>
      </c>
      <c r="B66" s="97">
        <v>15</v>
      </c>
      <c r="C66" s="97" t="s">
        <v>275</v>
      </c>
      <c r="L66" s="6" t="s">
        <v>640</v>
      </c>
      <c r="U66" s="403"/>
    </row>
    <row r="67" spans="1:21" x14ac:dyDescent="0.2">
      <c r="A67" s="401" t="s">
        <v>354</v>
      </c>
      <c r="B67" s="97">
        <v>15</v>
      </c>
      <c r="C67" s="97" t="s">
        <v>275</v>
      </c>
      <c r="L67" s="426" t="s">
        <v>545</v>
      </c>
      <c r="M67" s="528">
        <v>2.5000000000000001E-2</v>
      </c>
      <c r="N67" s="97" t="s">
        <v>645</v>
      </c>
      <c r="U67" s="403"/>
    </row>
    <row r="68" spans="1:21" x14ac:dyDescent="0.2">
      <c r="A68" s="401" t="s">
        <v>175</v>
      </c>
      <c r="B68" s="97">
        <v>15</v>
      </c>
      <c r="C68" s="97" t="str">
        <f>C65</f>
        <v>peasants</v>
      </c>
      <c r="L68" s="426" t="s">
        <v>547</v>
      </c>
      <c r="M68" s="528">
        <v>7.4999999999999997E-2</v>
      </c>
      <c r="N68" s="97" t="s">
        <v>646</v>
      </c>
    </row>
    <row r="69" spans="1:21" x14ac:dyDescent="0.2">
      <c r="A69" s="401" t="s">
        <v>276</v>
      </c>
      <c r="B69" s="97">
        <f>IF(OR(Overview!$B$14="Halfling",Overview!$B$14="Dwarf",Overview!$B$14="Gnome"),10,IF(race="Nomad",25,5))</f>
        <v>5</v>
      </c>
      <c r="L69" s="97" t="s">
        <v>549</v>
      </c>
      <c r="M69" s="2">
        <v>0.05</v>
      </c>
      <c r="N69" s="97" t="s">
        <v>647</v>
      </c>
    </row>
    <row r="70" spans="1:21" x14ac:dyDescent="0.2">
      <c r="L70" s="97" t="s">
        <v>551</v>
      </c>
      <c r="M70" s="528">
        <v>7.4999999999999997E-2</v>
      </c>
      <c r="N70" s="97" t="s">
        <v>645</v>
      </c>
      <c r="T70" s="426"/>
      <c r="U70" s="424"/>
    </row>
    <row r="71" spans="1:21" x14ac:dyDescent="0.2">
      <c r="A71" s="427" t="s">
        <v>277</v>
      </c>
      <c r="L71" s="97" t="s">
        <v>553</v>
      </c>
      <c r="M71" s="528">
        <v>2.5000000000000001E-2</v>
      </c>
      <c r="N71" s="97" t="s">
        <v>648</v>
      </c>
      <c r="T71" s="91"/>
      <c r="U71" s="424"/>
    </row>
    <row r="72" spans="1:21" x14ac:dyDescent="0.2">
      <c r="A72" s="401" t="str">
        <f>CONCATENATE("Your race is ",Overview!B14)</f>
        <v>Your race is Human</v>
      </c>
      <c r="L72" s="97" t="s">
        <v>555</v>
      </c>
      <c r="M72" s="2">
        <v>0.05</v>
      </c>
      <c r="N72" s="97" t="s">
        <v>684</v>
      </c>
      <c r="S72" s="428"/>
      <c r="T72" s="428"/>
      <c r="U72" s="403"/>
    </row>
    <row r="73" spans="1:21" x14ac:dyDescent="0.2">
      <c r="L73" s="97" t="s">
        <v>556</v>
      </c>
      <c r="M73" s="2">
        <v>0.1</v>
      </c>
      <c r="N73" s="97" t="s">
        <v>769</v>
      </c>
      <c r="S73" s="428"/>
      <c r="T73" s="428"/>
      <c r="U73" s="403"/>
    </row>
    <row r="74" spans="1:21" x14ac:dyDescent="0.2">
      <c r="A74" s="400" t="s">
        <v>207</v>
      </c>
      <c r="B74" s="97" t="s">
        <v>278</v>
      </c>
      <c r="F74" s="97" t="s">
        <v>212</v>
      </c>
      <c r="L74" s="97" t="s">
        <v>557</v>
      </c>
      <c r="M74" s="2">
        <v>-0.1</v>
      </c>
      <c r="N74" s="97" t="s">
        <v>682</v>
      </c>
      <c r="O74" s="97" t="s">
        <v>651</v>
      </c>
      <c r="S74" s="426"/>
      <c r="T74" s="428"/>
      <c r="U74" s="403"/>
    </row>
    <row r="75" spans="1:21" x14ac:dyDescent="0.2">
      <c r="A75" s="401" t="s">
        <v>202</v>
      </c>
      <c r="B75" s="97">
        <v>2</v>
      </c>
      <c r="C75" s="97" t="s">
        <v>208</v>
      </c>
      <c r="D75" s="423"/>
      <c r="F75" s="423">
        <v>0.1</v>
      </c>
      <c r="G75" s="97" t="s">
        <v>107</v>
      </c>
      <c r="L75" s="97" t="s">
        <v>558</v>
      </c>
      <c r="M75" s="2">
        <v>-0.05</v>
      </c>
      <c r="N75" s="97" t="s">
        <v>689</v>
      </c>
      <c r="O75" s="403">
        <v>-0.15</v>
      </c>
      <c r="P75" s="97" t="s">
        <v>666</v>
      </c>
      <c r="S75" s="428"/>
      <c r="T75" s="428"/>
      <c r="U75" s="424"/>
    </row>
    <row r="76" spans="1:21" x14ac:dyDescent="0.2">
      <c r="A76" s="401" t="s">
        <v>203</v>
      </c>
      <c r="B76" s="97">
        <v>2</v>
      </c>
      <c r="C76" s="97" t="s">
        <v>208</v>
      </c>
      <c r="D76" s="423"/>
      <c r="F76" s="423">
        <v>0.1</v>
      </c>
      <c r="G76" s="97" t="s">
        <v>110</v>
      </c>
      <c r="L76" s="97" t="s">
        <v>560</v>
      </c>
      <c r="M76" s="528">
        <v>-2.5000000000000001E-2</v>
      </c>
      <c r="N76" s="97" t="s">
        <v>652</v>
      </c>
      <c r="S76" s="428"/>
      <c r="T76" s="428"/>
      <c r="U76" s="403"/>
    </row>
    <row r="77" spans="1:21" x14ac:dyDescent="0.2">
      <c r="A77" s="401" t="s">
        <v>209</v>
      </c>
      <c r="B77" s="97">
        <v>2.5</v>
      </c>
      <c r="C77" s="97" t="s">
        <v>208</v>
      </c>
      <c r="D77" s="423"/>
      <c r="F77" s="423">
        <v>0.1</v>
      </c>
      <c r="G77" s="97" t="s">
        <v>32</v>
      </c>
      <c r="L77" s="97" t="s">
        <v>562</v>
      </c>
      <c r="M77" s="2">
        <v>-0.1</v>
      </c>
      <c r="N77" s="97" t="s">
        <v>770</v>
      </c>
      <c r="S77" s="428"/>
      <c r="T77" s="428"/>
    </row>
    <row r="78" spans="1:21" x14ac:dyDescent="0.2">
      <c r="A78" s="401" t="s">
        <v>206</v>
      </c>
      <c r="B78" s="97">
        <v>2.5</v>
      </c>
      <c r="C78" s="97" t="s">
        <v>208</v>
      </c>
      <c r="D78" s="423"/>
      <c r="F78" s="423">
        <v>0.5</v>
      </c>
      <c r="G78" s="97" t="s">
        <v>213</v>
      </c>
      <c r="M78"/>
      <c r="S78" s="426"/>
      <c r="T78" s="428"/>
    </row>
    <row r="79" spans="1:21" x14ac:dyDescent="0.2">
      <c r="A79" s="401" t="s">
        <v>210</v>
      </c>
      <c r="B79" s="97">
        <v>2.5</v>
      </c>
      <c r="C79" s="97" t="s">
        <v>208</v>
      </c>
      <c r="D79" s="423"/>
      <c r="F79" s="423">
        <v>0.1</v>
      </c>
      <c r="G79" s="97" t="s">
        <v>106</v>
      </c>
      <c r="L79" s="97" t="s">
        <v>563</v>
      </c>
      <c r="M79" s="528">
        <v>-0.1</v>
      </c>
      <c r="N79" s="97" t="s">
        <v>654</v>
      </c>
      <c r="S79" s="426"/>
      <c r="T79" s="428"/>
      <c r="U79" s="424"/>
    </row>
    <row r="80" spans="1:21" x14ac:dyDescent="0.2">
      <c r="A80" s="401" t="s">
        <v>537</v>
      </c>
      <c r="B80" s="97">
        <v>5</v>
      </c>
      <c r="C80" s="97" t="s">
        <v>208</v>
      </c>
      <c r="D80" s="423"/>
      <c r="F80" s="423">
        <v>0.2</v>
      </c>
      <c r="G80" s="97" t="s">
        <v>110</v>
      </c>
      <c r="H80" s="97" t="s">
        <v>252</v>
      </c>
      <c r="L80" s="97" t="s">
        <v>564</v>
      </c>
      <c r="M80" s="2">
        <v>0.15</v>
      </c>
      <c r="N80" s="97" t="s">
        <v>655</v>
      </c>
      <c r="S80" s="426"/>
      <c r="T80" s="428"/>
      <c r="U80" s="403"/>
    </row>
    <row r="81" spans="1:23" x14ac:dyDescent="0.2">
      <c r="A81" s="401" t="s">
        <v>538</v>
      </c>
      <c r="B81" s="97">
        <v>5</v>
      </c>
      <c r="C81" s="97" t="s">
        <v>208</v>
      </c>
      <c r="D81" s="423"/>
      <c r="F81" s="423">
        <v>0.3</v>
      </c>
      <c r="G81" s="97" t="s">
        <v>539</v>
      </c>
      <c r="L81" s="97" t="s">
        <v>565</v>
      </c>
      <c r="M81" s="2">
        <v>-0.05</v>
      </c>
      <c r="N81" s="97" t="s">
        <v>656</v>
      </c>
      <c r="S81" s="426"/>
      <c r="T81" s="428"/>
      <c r="U81" s="403"/>
    </row>
    <row r="82" spans="1:23" x14ac:dyDescent="0.2">
      <c r="A82" s="401" t="s">
        <v>267</v>
      </c>
      <c r="B82" s="97">
        <f>B80</f>
        <v>5</v>
      </c>
      <c r="C82" s="97" t="str">
        <f>C80</f>
        <v>* Landsize</v>
      </c>
      <c r="D82" s="403"/>
      <c r="F82" s="423">
        <v>0.2</v>
      </c>
      <c r="G82" s="97" t="s">
        <v>32</v>
      </c>
      <c r="H82" s="97" t="s">
        <v>264</v>
      </c>
      <c r="L82" s="97" t="s">
        <v>567</v>
      </c>
      <c r="M82" s="2">
        <v>-0.2</v>
      </c>
      <c r="N82" s="97" t="s">
        <v>657</v>
      </c>
      <c r="S82" s="426"/>
      <c r="T82" s="428"/>
      <c r="U82" s="403"/>
    </row>
    <row r="83" spans="1:23" x14ac:dyDescent="0.2">
      <c r="A83" s="401" t="s">
        <v>266</v>
      </c>
      <c r="B83" s="97">
        <f>B80</f>
        <v>5</v>
      </c>
      <c r="C83" s="97" t="str">
        <f>C80</f>
        <v>* Landsize</v>
      </c>
      <c r="D83" s="403"/>
      <c r="F83" s="423">
        <v>0.1</v>
      </c>
      <c r="G83" s="97" t="s">
        <v>31</v>
      </c>
      <c r="L83" s="97" t="s">
        <v>569</v>
      </c>
      <c r="M83" s="2">
        <v>0.01</v>
      </c>
      <c r="N83" s="97" t="s">
        <v>658</v>
      </c>
      <c r="O83" s="97" t="s">
        <v>651</v>
      </c>
      <c r="S83" s="426"/>
      <c r="T83" s="428"/>
      <c r="U83" s="403"/>
    </row>
    <row r="84" spans="1:23" x14ac:dyDescent="0.2">
      <c r="A84" s="401" t="s">
        <v>304</v>
      </c>
      <c r="B84" s="97">
        <v>5</v>
      </c>
      <c r="C84" s="97" t="str">
        <f t="shared" ref="C84:C89" si="0">C83</f>
        <v>* Landsize</v>
      </c>
      <c r="D84" s="403"/>
      <c r="F84" s="403">
        <v>0.2</v>
      </c>
      <c r="G84" s="173" t="s">
        <v>107</v>
      </c>
      <c r="H84" s="403">
        <v>0.1</v>
      </c>
      <c r="I84" s="97" t="s">
        <v>108</v>
      </c>
      <c r="L84" s="97" t="s">
        <v>570</v>
      </c>
      <c r="M84" s="529">
        <v>-2.5000000000000001E-2</v>
      </c>
      <c r="N84" s="97" t="s">
        <v>650</v>
      </c>
      <c r="O84" s="424">
        <v>-2.5000000000000001E-2</v>
      </c>
      <c r="P84" s="97" t="s">
        <v>771</v>
      </c>
      <c r="S84" s="428"/>
      <c r="T84" s="428"/>
    </row>
    <row r="85" spans="1:23" x14ac:dyDescent="0.2">
      <c r="A85" s="401" t="s">
        <v>341</v>
      </c>
      <c r="B85" s="97">
        <f>B84</f>
        <v>5</v>
      </c>
      <c r="C85" s="97" t="str">
        <f t="shared" si="0"/>
        <v>* Landsize</v>
      </c>
      <c r="D85" s="403"/>
      <c r="F85" s="403">
        <v>0.1</v>
      </c>
      <c r="G85" s="173" t="s">
        <v>31</v>
      </c>
      <c r="H85" s="403">
        <v>0.1</v>
      </c>
      <c r="I85" s="97" t="s">
        <v>32</v>
      </c>
      <c r="L85" s="97" t="s">
        <v>572</v>
      </c>
      <c r="M85">
        <v>1.25</v>
      </c>
      <c r="N85" s="97" t="s">
        <v>686</v>
      </c>
      <c r="S85" s="428"/>
      <c r="T85" s="428"/>
      <c r="U85" s="424"/>
    </row>
    <row r="86" spans="1:23" x14ac:dyDescent="0.2">
      <c r="A86" s="401" t="s">
        <v>340</v>
      </c>
      <c r="B86" s="97">
        <f>B85</f>
        <v>5</v>
      </c>
      <c r="C86" s="97" t="str">
        <f t="shared" si="0"/>
        <v>* Landsize</v>
      </c>
      <c r="D86" s="403"/>
      <c r="F86" s="403">
        <v>0.15</v>
      </c>
      <c r="G86" s="173" t="s">
        <v>32</v>
      </c>
      <c r="H86" s="403" t="s">
        <v>342</v>
      </c>
      <c r="L86" s="97" t="s">
        <v>574</v>
      </c>
      <c r="M86" s="2">
        <v>-0.15</v>
      </c>
      <c r="N86" s="97" t="s">
        <v>654</v>
      </c>
      <c r="S86" s="428"/>
      <c r="T86" s="428"/>
      <c r="U86" s="403"/>
    </row>
    <row r="87" spans="1:23" x14ac:dyDescent="0.2">
      <c r="A87" s="401" t="s">
        <v>347</v>
      </c>
      <c r="B87" s="97">
        <v>5</v>
      </c>
      <c r="C87" s="429" t="str">
        <f t="shared" si="0"/>
        <v>* Landsize</v>
      </c>
      <c r="D87" s="403"/>
      <c r="F87" s="430">
        <v>15</v>
      </c>
      <c r="G87" s="173" t="s">
        <v>348</v>
      </c>
      <c r="H87" s="403"/>
      <c r="L87" s="97" t="s">
        <v>575</v>
      </c>
      <c r="M87" s="528">
        <v>-2.5000000000000001E-2</v>
      </c>
      <c r="N87" s="97" t="s">
        <v>650</v>
      </c>
      <c r="O87" s="97">
        <v>-1</v>
      </c>
      <c r="P87" s="97" t="s">
        <v>683</v>
      </c>
      <c r="S87" s="428"/>
      <c r="T87" s="428"/>
      <c r="U87" s="403"/>
    </row>
    <row r="88" spans="1:23" x14ac:dyDescent="0.2">
      <c r="A88" s="401" t="s">
        <v>432</v>
      </c>
      <c r="B88" s="97">
        <v>5</v>
      </c>
      <c r="C88" s="97" t="str">
        <f t="shared" si="0"/>
        <v>* Landsize</v>
      </c>
      <c r="D88" s="403"/>
      <c r="F88" s="403">
        <v>0.05</v>
      </c>
      <c r="G88" s="173" t="s">
        <v>31</v>
      </c>
      <c r="L88" s="97" t="s">
        <v>576</v>
      </c>
      <c r="M88" s="528">
        <v>-2.5000000000000001E-2</v>
      </c>
      <c r="N88" s="97" t="s">
        <v>656</v>
      </c>
      <c r="S88" s="426"/>
      <c r="T88" s="428"/>
      <c r="U88" s="424"/>
    </row>
    <row r="89" spans="1:23" x14ac:dyDescent="0.2">
      <c r="A89" s="401" t="s">
        <v>1107</v>
      </c>
      <c r="B89" s="97">
        <v>5</v>
      </c>
      <c r="C89" s="97" t="str">
        <f t="shared" si="0"/>
        <v>* Landsize</v>
      </c>
      <c r="D89" s="403">
        <v>0.01</v>
      </c>
      <c r="E89" s="97" t="s">
        <v>364</v>
      </c>
      <c r="F89" s="403">
        <v>0.1</v>
      </c>
      <c r="G89" s="534" t="s">
        <v>1109</v>
      </c>
      <c r="M89"/>
      <c r="S89" s="426"/>
      <c r="T89" s="428"/>
    </row>
    <row r="90" spans="1:23" x14ac:dyDescent="0.2">
      <c r="L90" s="97" t="s">
        <v>578</v>
      </c>
      <c r="M90" s="2">
        <v>0.05</v>
      </c>
      <c r="N90" s="97" t="s">
        <v>659</v>
      </c>
      <c r="S90" s="426"/>
      <c r="T90" s="428"/>
    </row>
    <row r="91" spans="1:23" x14ac:dyDescent="0.2">
      <c r="A91" s="400" t="s">
        <v>82</v>
      </c>
      <c r="L91" s="97" t="s">
        <v>580</v>
      </c>
      <c r="M91" s="528">
        <v>2.5000000000000001E-2</v>
      </c>
      <c r="N91" s="97" t="s">
        <v>661</v>
      </c>
      <c r="S91" s="426"/>
      <c r="T91" s="428"/>
      <c r="U91" s="424"/>
    </row>
    <row r="92" spans="1:23" x14ac:dyDescent="0.2">
      <c r="A92" s="401" t="s">
        <v>274</v>
      </c>
      <c r="B92" s="97">
        <f>IF(Overview!$B$14="Kobold",40,30)</f>
        <v>30</v>
      </c>
      <c r="C92" s="97" t="s">
        <v>245</v>
      </c>
      <c r="L92" s="97" t="s">
        <v>582</v>
      </c>
      <c r="M92" s="528">
        <v>7.4999999999999997E-2</v>
      </c>
      <c r="N92" s="97" t="s">
        <v>662</v>
      </c>
      <c r="O92" s="425">
        <v>7.4999999999999997E-2</v>
      </c>
      <c r="P92" s="97" t="s">
        <v>663</v>
      </c>
      <c r="S92" s="426"/>
      <c r="T92" s="428"/>
      <c r="U92" s="424"/>
      <c r="W92" s="403"/>
    </row>
    <row r="93" spans="1:23" x14ac:dyDescent="0.2">
      <c r="L93" s="97" t="s">
        <v>583</v>
      </c>
      <c r="M93" s="528">
        <v>7.4999999999999997E-2</v>
      </c>
      <c r="N93" s="97" t="s">
        <v>646</v>
      </c>
      <c r="O93" s="403">
        <v>0.05</v>
      </c>
      <c r="P93" s="97" t="s">
        <v>664</v>
      </c>
      <c r="S93" s="426"/>
      <c r="T93" s="428"/>
      <c r="U93" s="424"/>
      <c r="W93" s="403"/>
    </row>
    <row r="94" spans="1:23" x14ac:dyDescent="0.2">
      <c r="A94" s="400" t="s">
        <v>357</v>
      </c>
      <c r="L94" s="97" t="s">
        <v>585</v>
      </c>
      <c r="M94" s="528">
        <v>-1.7500000000000002E-2</v>
      </c>
      <c r="N94" s="97" t="s">
        <v>649</v>
      </c>
      <c r="S94" s="428"/>
      <c r="T94" s="428"/>
    </row>
    <row r="95" spans="1:23" x14ac:dyDescent="0.2">
      <c r="A95" s="401" t="s">
        <v>511</v>
      </c>
      <c r="B95" s="97">
        <v>250</v>
      </c>
      <c r="L95" s="97" t="s">
        <v>586</v>
      </c>
      <c r="M95" s="528">
        <v>1.4999999999999999E-2</v>
      </c>
      <c r="N95" s="97" t="s">
        <v>660</v>
      </c>
      <c r="S95" s="428"/>
      <c r="T95" s="428"/>
      <c r="U95" s="403"/>
    </row>
    <row r="96" spans="1:23" x14ac:dyDescent="0.2">
      <c r="A96" s="401" t="s">
        <v>512</v>
      </c>
      <c r="B96" s="403">
        <v>0.01</v>
      </c>
      <c r="L96" s="97" t="s">
        <v>587</v>
      </c>
      <c r="M96" s="528">
        <v>-7.4999999999999997E-2</v>
      </c>
      <c r="N96" s="97" t="s">
        <v>650</v>
      </c>
      <c r="O96" s="97">
        <v>-2</v>
      </c>
      <c r="P96" s="97" t="s">
        <v>683</v>
      </c>
      <c r="S96" s="428"/>
      <c r="T96" s="428"/>
      <c r="U96" s="424"/>
    </row>
    <row r="97" spans="1:23" x14ac:dyDescent="0.2">
      <c r="A97" s="401" t="s">
        <v>513</v>
      </c>
      <c r="B97" s="403">
        <v>0.01</v>
      </c>
      <c r="L97" s="97" t="s">
        <v>588</v>
      </c>
      <c r="M97" s="2">
        <v>-0.5</v>
      </c>
      <c r="N97" s="97" t="s">
        <v>665</v>
      </c>
      <c r="S97" s="426"/>
      <c r="T97" s="428"/>
      <c r="U97" s="403"/>
    </row>
    <row r="98" spans="1:23" x14ac:dyDescent="0.2">
      <c r="A98" s="401" t="s">
        <v>514</v>
      </c>
      <c r="B98" s="403">
        <v>0.01</v>
      </c>
      <c r="L98" s="97" t="s">
        <v>590</v>
      </c>
      <c r="M98" s="2">
        <v>-0.1</v>
      </c>
      <c r="N98" s="97" t="s">
        <v>653</v>
      </c>
      <c r="S98" s="428"/>
      <c r="T98" s="428"/>
      <c r="U98" s="403"/>
      <c r="W98" s="403"/>
    </row>
    <row r="99" spans="1:23" x14ac:dyDescent="0.2">
      <c r="M99"/>
      <c r="S99" s="426"/>
      <c r="T99" s="428"/>
    </row>
    <row r="100" spans="1:23" x14ac:dyDescent="0.2">
      <c r="A100" s="400" t="s">
        <v>463</v>
      </c>
      <c r="L100" s="97" t="s">
        <v>592</v>
      </c>
      <c r="M100" s="528">
        <v>0.125</v>
      </c>
      <c r="N100" s="97" t="s">
        <v>667</v>
      </c>
      <c r="S100" s="428"/>
      <c r="T100" s="428"/>
      <c r="U100" s="424"/>
    </row>
    <row r="101" spans="1:23" x14ac:dyDescent="0.2">
      <c r="L101" s="97" t="s">
        <v>593</v>
      </c>
      <c r="M101"/>
      <c r="N101" s="97" t="s">
        <v>641</v>
      </c>
      <c r="S101" s="426"/>
      <c r="T101" s="428"/>
    </row>
    <row r="102" spans="1:23" x14ac:dyDescent="0.2">
      <c r="A102" s="401" t="s">
        <v>464</v>
      </c>
      <c r="B102" s="97" t="s">
        <v>216</v>
      </c>
      <c r="D102" s="423">
        <v>0.3</v>
      </c>
      <c r="E102" s="97" t="s">
        <v>443</v>
      </c>
      <c r="L102" s="97" t="s">
        <v>594</v>
      </c>
      <c r="M102" s="528">
        <v>2.5000000000000001E-2</v>
      </c>
      <c r="N102" s="97" t="s">
        <v>661</v>
      </c>
      <c r="O102" s="424">
        <v>7.4999999999999997E-2</v>
      </c>
      <c r="P102" s="97" t="s">
        <v>659</v>
      </c>
      <c r="S102" s="426"/>
      <c r="T102" s="428"/>
      <c r="U102" s="424"/>
      <c r="W102" s="424"/>
    </row>
    <row r="103" spans="1:23" x14ac:dyDescent="0.2">
      <c r="B103" s="97" t="s">
        <v>214</v>
      </c>
      <c r="D103" s="423">
        <v>0.2</v>
      </c>
      <c r="E103" s="97" t="s">
        <v>443</v>
      </c>
      <c r="L103" s="97" t="s">
        <v>595</v>
      </c>
      <c r="M103" s="2">
        <v>0.05</v>
      </c>
      <c r="N103" s="97" t="s">
        <v>648</v>
      </c>
      <c r="S103" s="426"/>
      <c r="T103" s="428"/>
      <c r="U103" s="403"/>
    </row>
    <row r="104" spans="1:23" x14ac:dyDescent="0.2">
      <c r="B104" s="97" t="s">
        <v>465</v>
      </c>
      <c r="D104" s="423">
        <v>0.3</v>
      </c>
      <c r="E104" s="97" t="s">
        <v>443</v>
      </c>
      <c r="L104" s="97" t="s">
        <v>596</v>
      </c>
      <c r="M104">
        <v>1</v>
      </c>
      <c r="N104" s="97" t="s">
        <v>1093</v>
      </c>
      <c r="S104" s="428"/>
      <c r="T104" s="428"/>
      <c r="U104" s="403"/>
    </row>
    <row r="105" spans="1:23" x14ac:dyDescent="0.2">
      <c r="B105" s="97" t="s">
        <v>466</v>
      </c>
      <c r="D105" s="423">
        <v>0.6</v>
      </c>
      <c r="E105" s="97" t="s">
        <v>443</v>
      </c>
      <c r="L105" s="97" t="s">
        <v>597</v>
      </c>
      <c r="M105" s="528">
        <v>-7.4999999999999997E-2</v>
      </c>
      <c r="N105" s="97" t="s">
        <v>656</v>
      </c>
      <c r="S105" s="428"/>
      <c r="T105" s="428"/>
      <c r="U105" s="403"/>
    </row>
    <row r="106" spans="1:23" x14ac:dyDescent="0.2">
      <c r="L106" s="97" t="s">
        <v>599</v>
      </c>
      <c r="M106">
        <v>-1</v>
      </c>
      <c r="N106" s="97" t="s">
        <v>772</v>
      </c>
      <c r="S106" s="428"/>
      <c r="T106" s="428"/>
      <c r="U106" s="424"/>
    </row>
    <row r="107" spans="1:23" x14ac:dyDescent="0.2">
      <c r="A107" s="401" t="s">
        <v>467</v>
      </c>
      <c r="B107" s="97" t="s">
        <v>216</v>
      </c>
      <c r="D107" s="97">
        <v>4000</v>
      </c>
      <c r="E107" s="97" t="s">
        <v>515</v>
      </c>
      <c r="L107" s="97" t="s">
        <v>601</v>
      </c>
      <c r="M107" s="2">
        <v>-0.2</v>
      </c>
      <c r="N107" s="97" t="s">
        <v>668</v>
      </c>
      <c r="S107" s="428"/>
      <c r="T107" s="428"/>
    </row>
    <row r="108" spans="1:23" x14ac:dyDescent="0.2">
      <c r="B108" s="97" t="s">
        <v>214</v>
      </c>
      <c r="D108" s="97">
        <v>4000</v>
      </c>
      <c r="E108" s="97" t="s">
        <v>515</v>
      </c>
      <c r="M108"/>
      <c r="T108" s="91"/>
    </row>
    <row r="109" spans="1:23" x14ac:dyDescent="0.2">
      <c r="B109" s="97" t="s">
        <v>465</v>
      </c>
      <c r="D109" s="97">
        <v>7500</v>
      </c>
      <c r="E109" s="97" t="s">
        <v>515</v>
      </c>
      <c r="L109" s="97" t="s">
        <v>602</v>
      </c>
      <c r="M109" s="528">
        <v>2.5000000000000001E-2</v>
      </c>
      <c r="N109" s="97" t="s">
        <v>1094</v>
      </c>
      <c r="O109" s="97" t="s">
        <v>670</v>
      </c>
      <c r="S109" s="428"/>
      <c r="T109" s="428"/>
      <c r="U109" s="403"/>
      <c r="W109" s="403"/>
    </row>
    <row r="110" spans="1:23" x14ac:dyDescent="0.2">
      <c r="B110" s="97" t="s">
        <v>535</v>
      </c>
      <c r="D110" s="97">
        <v>5000</v>
      </c>
      <c r="E110" s="97" t="s">
        <v>515</v>
      </c>
      <c r="L110" s="97" t="s">
        <v>603</v>
      </c>
      <c r="M110" s="2">
        <v>-0.2</v>
      </c>
      <c r="N110" s="97" t="s">
        <v>687</v>
      </c>
      <c r="O110" s="403">
        <v>-0.1</v>
      </c>
      <c r="P110" s="97" t="s">
        <v>669</v>
      </c>
      <c r="S110" s="428"/>
      <c r="T110" s="428"/>
    </row>
    <row r="111" spans="1:23" x14ac:dyDescent="0.2">
      <c r="B111" s="97" t="s">
        <v>217</v>
      </c>
      <c r="D111" s="97">
        <v>5000</v>
      </c>
      <c r="E111" s="97" t="s">
        <v>515</v>
      </c>
      <c r="L111" s="97" t="s">
        <v>604</v>
      </c>
      <c r="M111" s="528">
        <v>-1.7500000000000002E-2</v>
      </c>
      <c r="N111" s="97" t="s">
        <v>649</v>
      </c>
      <c r="S111" s="428"/>
      <c r="T111" s="428"/>
      <c r="U111" s="403"/>
    </row>
    <row r="112" spans="1:23" x14ac:dyDescent="0.2">
      <c r="L112" s="97" t="s">
        <v>605</v>
      </c>
      <c r="M112" s="528">
        <v>2.5000000000000001E-2</v>
      </c>
      <c r="N112" s="97" t="s">
        <v>679</v>
      </c>
      <c r="O112" s="424">
        <v>7.4999999999999997E-2</v>
      </c>
      <c r="P112" s="97" t="s">
        <v>671</v>
      </c>
      <c r="S112" s="426"/>
      <c r="T112" s="428"/>
      <c r="U112" s="424"/>
      <c r="W112" s="424"/>
    </row>
    <row r="113" spans="1:23" x14ac:dyDescent="0.2">
      <c r="A113" s="400" t="s">
        <v>468</v>
      </c>
      <c r="F113" s="97" t="s">
        <v>470</v>
      </c>
      <c r="L113" s="97" t="s">
        <v>606</v>
      </c>
      <c r="M113" s="528">
        <v>-1.7500000000000002E-2</v>
      </c>
      <c r="N113" s="97" t="s">
        <v>649</v>
      </c>
      <c r="S113" s="428"/>
      <c r="T113" s="428"/>
      <c r="U113" s="403"/>
    </row>
    <row r="114" spans="1:23" x14ac:dyDescent="0.2">
      <c r="A114" s="401" t="s">
        <v>125</v>
      </c>
      <c r="B114" s="431"/>
      <c r="C114" s="432">
        <v>0.2</v>
      </c>
      <c r="D114" s="97" t="s">
        <v>475</v>
      </c>
      <c r="F114" s="271" t="s">
        <v>474</v>
      </c>
      <c r="L114" s="97" t="s">
        <v>607</v>
      </c>
      <c r="M114">
        <v>1</v>
      </c>
      <c r="N114" s="97" t="s">
        <v>685</v>
      </c>
      <c r="S114" s="428"/>
      <c r="T114" s="428"/>
      <c r="U114" s="403"/>
      <c r="W114" s="403"/>
    </row>
    <row r="115" spans="1:23" x14ac:dyDescent="0.2">
      <c r="A115" s="401" t="s">
        <v>126</v>
      </c>
      <c r="B115" s="433" t="s">
        <v>299</v>
      </c>
      <c r="C115" s="432">
        <v>0.2</v>
      </c>
      <c r="D115" s="97" t="s">
        <v>475</v>
      </c>
      <c r="F115" s="271" t="s">
        <v>474</v>
      </c>
      <c r="L115" s="97" t="s">
        <v>608</v>
      </c>
      <c r="M115" s="2">
        <v>-0.01</v>
      </c>
      <c r="N115" s="97" t="s">
        <v>673</v>
      </c>
      <c r="S115" s="426"/>
      <c r="T115" s="428"/>
      <c r="U115" s="403"/>
    </row>
    <row r="116" spans="1:23" x14ac:dyDescent="0.2">
      <c r="B116" s="97" t="s">
        <v>298</v>
      </c>
      <c r="C116" s="425">
        <v>0.2</v>
      </c>
      <c r="D116" s="97" t="s">
        <v>475</v>
      </c>
      <c r="F116" s="271" t="s">
        <v>474</v>
      </c>
      <c r="M116"/>
      <c r="S116" s="426"/>
      <c r="T116" s="428"/>
    </row>
    <row r="117" spans="1:23" x14ac:dyDescent="0.2">
      <c r="A117" s="401" t="s">
        <v>141</v>
      </c>
      <c r="B117" s="431"/>
      <c r="C117" s="432">
        <v>0.2</v>
      </c>
      <c r="D117" s="97" t="s">
        <v>475</v>
      </c>
      <c r="F117" s="271">
        <v>4</v>
      </c>
      <c r="L117" s="97" t="s">
        <v>609</v>
      </c>
      <c r="M117" s="528">
        <v>1.4999999999999999E-2</v>
      </c>
      <c r="N117" s="97" t="s">
        <v>660</v>
      </c>
      <c r="S117" s="426"/>
      <c r="T117" s="428"/>
      <c r="U117" s="424"/>
    </row>
    <row r="118" spans="1:23" x14ac:dyDescent="0.2">
      <c r="A118" s="401" t="s">
        <v>133</v>
      </c>
      <c r="B118" s="431"/>
      <c r="C118" s="432">
        <v>0.2</v>
      </c>
      <c r="D118" s="97" t="s">
        <v>476</v>
      </c>
      <c r="F118" s="271">
        <v>2</v>
      </c>
      <c r="L118" s="97" t="s">
        <v>610</v>
      </c>
      <c r="M118" s="528">
        <v>2.5000000000000001E-2</v>
      </c>
      <c r="N118" s="97" t="s">
        <v>661</v>
      </c>
      <c r="O118" s="403">
        <v>-0.05</v>
      </c>
      <c r="P118" s="97" t="s">
        <v>674</v>
      </c>
      <c r="S118" s="426"/>
      <c r="T118" s="428"/>
      <c r="U118" s="424"/>
      <c r="W118" s="403"/>
    </row>
    <row r="119" spans="1:23" x14ac:dyDescent="0.2">
      <c r="A119" s="401" t="s">
        <v>1099</v>
      </c>
      <c r="B119" s="433" t="s">
        <v>299</v>
      </c>
      <c r="C119" s="432">
        <v>0.1</v>
      </c>
      <c r="D119" s="97" t="s">
        <v>302</v>
      </c>
      <c r="F119" s="271">
        <v>0</v>
      </c>
      <c r="L119" s="97" t="s">
        <v>612</v>
      </c>
      <c r="M119" s="2">
        <v>-0.05</v>
      </c>
      <c r="N119" s="97" t="s">
        <v>656</v>
      </c>
      <c r="O119" s="403">
        <v>-0.05</v>
      </c>
      <c r="P119" s="97" t="s">
        <v>669</v>
      </c>
      <c r="Q119" s="97">
        <v>5</v>
      </c>
      <c r="R119" s="97" t="s">
        <v>690</v>
      </c>
      <c r="S119" s="428"/>
      <c r="T119" s="428"/>
      <c r="U119" s="403"/>
      <c r="W119" s="403"/>
    </row>
    <row r="120" spans="1:23" x14ac:dyDescent="0.2">
      <c r="B120" s="97" t="s">
        <v>298</v>
      </c>
      <c r="C120" s="434">
        <v>0.1</v>
      </c>
      <c r="D120" s="97" t="s">
        <v>302</v>
      </c>
      <c r="F120" s="271">
        <v>0</v>
      </c>
      <c r="L120" s="97" t="s">
        <v>613</v>
      </c>
      <c r="M120" s="528">
        <v>-0.125</v>
      </c>
      <c r="N120" s="97" t="s">
        <v>675</v>
      </c>
      <c r="S120" s="426"/>
      <c r="T120" s="428"/>
      <c r="U120" s="424"/>
    </row>
    <row r="121" spans="1:23" x14ac:dyDescent="0.2">
      <c r="A121" s="401" t="s">
        <v>469</v>
      </c>
      <c r="B121" s="431"/>
      <c r="C121" s="432">
        <v>0.2</v>
      </c>
      <c r="D121" s="97" t="s">
        <v>476</v>
      </c>
      <c r="F121" s="271">
        <v>3</v>
      </c>
      <c r="L121" s="97" t="s">
        <v>615</v>
      </c>
      <c r="M121" s="2">
        <v>0.01</v>
      </c>
      <c r="N121" s="97" t="s">
        <v>660</v>
      </c>
      <c r="O121" s="403">
        <v>0.1</v>
      </c>
      <c r="P121" s="97" t="s">
        <v>672</v>
      </c>
      <c r="S121" s="428"/>
      <c r="T121" s="428"/>
      <c r="U121" s="403"/>
    </row>
    <row r="122" spans="1:23" x14ac:dyDescent="0.2">
      <c r="A122" s="401" t="s">
        <v>339</v>
      </c>
      <c r="C122" s="271">
        <v>1</v>
      </c>
      <c r="D122" s="97" t="s">
        <v>471</v>
      </c>
      <c r="F122" s="271">
        <v>3</v>
      </c>
      <c r="L122" s="97" t="s">
        <v>616</v>
      </c>
      <c r="M122" s="529">
        <v>7.4999999999999997E-2</v>
      </c>
      <c r="N122" s="97" t="s">
        <v>688</v>
      </c>
      <c r="O122" s="403">
        <v>-0.05</v>
      </c>
      <c r="P122" s="97" t="s">
        <v>676</v>
      </c>
      <c r="S122" s="428"/>
      <c r="T122" s="428"/>
      <c r="U122" s="403"/>
      <c r="W122" s="403"/>
    </row>
    <row r="123" spans="1:23" x14ac:dyDescent="0.2">
      <c r="A123" s="401" t="s">
        <v>381</v>
      </c>
      <c r="B123" s="271" t="s">
        <v>473</v>
      </c>
      <c r="C123" s="433">
        <v>500</v>
      </c>
      <c r="D123" s="97" t="s">
        <v>472</v>
      </c>
      <c r="F123" s="271">
        <v>0</v>
      </c>
      <c r="M123"/>
      <c r="S123" s="426"/>
      <c r="T123" s="428"/>
    </row>
    <row r="124" spans="1:23" x14ac:dyDescent="0.2">
      <c r="A124" s="401" t="s">
        <v>363</v>
      </c>
      <c r="B124" s="271" t="s">
        <v>473</v>
      </c>
      <c r="C124" s="435">
        <v>250</v>
      </c>
      <c r="D124" s="97" t="s">
        <v>472</v>
      </c>
      <c r="F124" s="271">
        <v>3</v>
      </c>
      <c r="L124" s="97" t="s">
        <v>617</v>
      </c>
      <c r="M124" s="2">
        <v>0.3</v>
      </c>
      <c r="N124" s="97" t="s">
        <v>677</v>
      </c>
      <c r="S124" s="426"/>
      <c r="T124" s="428"/>
      <c r="U124" s="403"/>
    </row>
    <row r="125" spans="1:23" x14ac:dyDescent="0.2">
      <c r="A125" s="401" t="s">
        <v>430</v>
      </c>
      <c r="B125" s="431"/>
      <c r="C125" s="425">
        <v>0.12</v>
      </c>
      <c r="D125" s="97" t="s">
        <v>506</v>
      </c>
      <c r="F125" s="271">
        <v>3</v>
      </c>
      <c r="L125" s="97" t="s">
        <v>619</v>
      </c>
      <c r="M125">
        <v>1.25</v>
      </c>
      <c r="N125" s="97" t="s">
        <v>692</v>
      </c>
      <c r="S125" s="428"/>
      <c r="T125" s="428"/>
      <c r="U125" s="403"/>
    </row>
    <row r="126" spans="1:23" x14ac:dyDescent="0.2">
      <c r="L126" s="97" t="s">
        <v>621</v>
      </c>
      <c r="M126" s="528">
        <v>-7.4999999999999997E-2</v>
      </c>
      <c r="N126" s="97" t="s">
        <v>676</v>
      </c>
      <c r="O126" s="424">
        <v>7.4999999999999997E-3</v>
      </c>
      <c r="P126" s="97" t="s">
        <v>773</v>
      </c>
      <c r="S126" s="428"/>
      <c r="T126" s="428"/>
      <c r="U126" s="403"/>
    </row>
    <row r="127" spans="1:23" x14ac:dyDescent="0.2">
      <c r="A127" s="400" t="s">
        <v>270</v>
      </c>
      <c r="L127" s="97" t="s">
        <v>622</v>
      </c>
      <c r="M127" s="528">
        <v>2.5000000000000001E-2</v>
      </c>
      <c r="N127" s="97" t="s">
        <v>679</v>
      </c>
      <c r="S127" s="426"/>
      <c r="T127" s="428"/>
      <c r="U127" s="424"/>
    </row>
    <row r="128" spans="1:23" x14ac:dyDescent="0.2">
      <c r="A128" s="401" t="s">
        <v>487</v>
      </c>
      <c r="B128" s="97">
        <v>20</v>
      </c>
      <c r="L128" s="97" t="s">
        <v>623</v>
      </c>
      <c r="M128" s="528">
        <v>-2.5000000000000001E-2</v>
      </c>
      <c r="N128" s="97" t="s">
        <v>652</v>
      </c>
      <c r="O128" s="6">
        <v>2</v>
      </c>
      <c r="P128" s="6" t="s">
        <v>691</v>
      </c>
      <c r="S128" s="426"/>
      <c r="T128" s="428"/>
      <c r="U128" s="424"/>
    </row>
    <row r="129" spans="1:23" x14ac:dyDescent="0.2">
      <c r="A129" s="401" t="s">
        <v>485</v>
      </c>
      <c r="B129" s="97">
        <v>0</v>
      </c>
      <c r="C129" s="97" t="s">
        <v>486</v>
      </c>
      <c r="M129"/>
      <c r="S129" s="426"/>
      <c r="T129" s="428"/>
    </row>
    <row r="130" spans="1:23" x14ac:dyDescent="0.2">
      <c r="L130" s="97" t="s">
        <v>625</v>
      </c>
      <c r="M130" s="2">
        <v>0.6</v>
      </c>
      <c r="N130" s="97" t="s">
        <v>774</v>
      </c>
      <c r="S130" s="428"/>
      <c r="T130" s="428"/>
    </row>
    <row r="131" spans="1:23" x14ac:dyDescent="0.2">
      <c r="A131" s="400" t="s">
        <v>775</v>
      </c>
      <c r="L131" s="97" t="s">
        <v>626</v>
      </c>
      <c r="M131" s="528">
        <v>-7.4999999999999997E-2</v>
      </c>
      <c r="N131" s="97" t="s">
        <v>676</v>
      </c>
      <c r="S131" s="426"/>
      <c r="T131" s="428"/>
      <c r="U131" s="424"/>
    </row>
    <row r="132" spans="1:23" x14ac:dyDescent="0.2">
      <c r="A132" s="401" t="s">
        <v>89</v>
      </c>
      <c r="B132" s="97" t="s">
        <v>3</v>
      </c>
      <c r="L132" s="97" t="s">
        <v>628</v>
      </c>
      <c r="M132">
        <v>1</v>
      </c>
      <c r="N132" s="97" t="s">
        <v>693</v>
      </c>
      <c r="S132" s="426"/>
      <c r="T132" s="428"/>
    </row>
    <row r="133" spans="1:23" x14ac:dyDescent="0.2">
      <c r="A133" s="401" t="s">
        <v>90</v>
      </c>
      <c r="B133" s="97" t="s">
        <v>3</v>
      </c>
      <c r="L133" s="97" t="s">
        <v>630</v>
      </c>
      <c r="M133" s="2">
        <v>0.3</v>
      </c>
      <c r="N133" s="97" t="s">
        <v>680</v>
      </c>
      <c r="S133" s="428"/>
      <c r="T133" s="428"/>
      <c r="U133" s="403"/>
    </row>
    <row r="134" spans="1:23" x14ac:dyDescent="0.2">
      <c r="A134" s="401" t="s">
        <v>91</v>
      </c>
      <c r="B134" s="97" t="s">
        <v>3</v>
      </c>
      <c r="M134"/>
      <c r="S134" s="426"/>
      <c r="T134" s="428"/>
    </row>
    <row r="135" spans="1:23" x14ac:dyDescent="0.2">
      <c r="A135" s="401" t="s">
        <v>92</v>
      </c>
      <c r="B135" s="97" t="s">
        <v>3</v>
      </c>
      <c r="L135" s="97" t="s">
        <v>631</v>
      </c>
      <c r="M135" s="2">
        <v>-0.15</v>
      </c>
      <c r="N135" s="97" t="s">
        <v>689</v>
      </c>
      <c r="O135" s="403">
        <v>-0.05</v>
      </c>
      <c r="P135" s="97" t="s">
        <v>666</v>
      </c>
      <c r="S135" s="426"/>
      <c r="T135" s="428"/>
      <c r="U135" s="403"/>
      <c r="W135" s="403"/>
    </row>
    <row r="136" spans="1:23" x14ac:dyDescent="0.2">
      <c r="A136" s="401" t="s">
        <v>93</v>
      </c>
      <c r="B136" s="97" t="s">
        <v>3</v>
      </c>
      <c r="L136" s="97" t="s">
        <v>633</v>
      </c>
      <c r="M136" s="528">
        <v>-2.5000000000000001E-2</v>
      </c>
      <c r="N136" s="97" t="s">
        <v>656</v>
      </c>
      <c r="S136" s="426"/>
      <c r="T136" s="428"/>
      <c r="U136" s="424"/>
    </row>
    <row r="137" spans="1:23" x14ac:dyDescent="0.2">
      <c r="A137" s="401" t="s">
        <v>94</v>
      </c>
      <c r="B137" s="97" t="s">
        <v>3</v>
      </c>
      <c r="L137" s="97" t="s">
        <v>634</v>
      </c>
      <c r="M137" s="2">
        <v>-0.25</v>
      </c>
      <c r="N137" s="97" t="s">
        <v>681</v>
      </c>
      <c r="S137" s="426"/>
      <c r="T137" s="428"/>
      <c r="U137" s="403"/>
    </row>
    <row r="138" spans="1:23" x14ac:dyDescent="0.2">
      <c r="A138" s="401" t="s">
        <v>95</v>
      </c>
      <c r="B138" s="97" t="s">
        <v>3</v>
      </c>
      <c r="M138"/>
      <c r="S138" s="426"/>
      <c r="T138" s="428"/>
    </row>
    <row r="139" spans="1:23" x14ac:dyDescent="0.2">
      <c r="A139" s="401" t="s">
        <v>96</v>
      </c>
      <c r="B139" s="97" t="s">
        <v>7</v>
      </c>
      <c r="L139" s="97" t="s">
        <v>635</v>
      </c>
      <c r="M139" s="2">
        <v>0.05</v>
      </c>
      <c r="N139" s="97" t="s">
        <v>678</v>
      </c>
      <c r="S139" s="428"/>
      <c r="T139" s="428"/>
      <c r="U139" s="424"/>
    </row>
    <row r="140" spans="1:23" x14ac:dyDescent="0.2">
      <c r="A140" s="401" t="s">
        <v>97</v>
      </c>
      <c r="B140" s="97" t="s">
        <v>3</v>
      </c>
      <c r="L140" s="97" t="s">
        <v>637</v>
      </c>
      <c r="M140" s="528">
        <v>-7.4999999999999997E-2</v>
      </c>
      <c r="N140" s="97" t="s">
        <v>675</v>
      </c>
      <c r="S140" s="428"/>
      <c r="T140" s="428"/>
      <c r="U140" s="403"/>
    </row>
    <row r="141" spans="1:23" x14ac:dyDescent="0.2">
      <c r="A141" s="401" t="s">
        <v>29</v>
      </c>
      <c r="B141" s="97" t="s">
        <v>3</v>
      </c>
      <c r="M141"/>
      <c r="T141" s="91"/>
    </row>
    <row r="142" spans="1:23" x14ac:dyDescent="0.2">
      <c r="A142" s="401" t="s">
        <v>99</v>
      </c>
      <c r="B142" s="97" t="s">
        <v>3</v>
      </c>
      <c r="L142" s="97" t="s">
        <v>638</v>
      </c>
      <c r="M142" s="2">
        <v>-0.05</v>
      </c>
      <c r="N142" s="97" t="s">
        <v>676</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335</v>
      </c>
      <c r="B148" s="97" t="s">
        <v>3</v>
      </c>
      <c r="L148" s="426"/>
    </row>
    <row r="149" spans="1:13" x14ac:dyDescent="0.2">
      <c r="A149" s="401" t="s">
        <v>349</v>
      </c>
      <c r="B149" s="97" t="s">
        <v>3</v>
      </c>
      <c r="L149" s="426"/>
      <c r="M149" s="403"/>
    </row>
    <row r="150" spans="1:13" x14ac:dyDescent="0.2">
      <c r="A150" s="401" t="s">
        <v>145</v>
      </c>
      <c r="B150" s="97" t="s">
        <v>3</v>
      </c>
    </row>
    <row r="151" spans="1:13" x14ac:dyDescent="0.2">
      <c r="A151" s="401" t="s">
        <v>507</v>
      </c>
      <c r="B151" s="97" t="s">
        <v>12</v>
      </c>
    </row>
    <row r="153" spans="1:13" x14ac:dyDescent="0.2">
      <c r="A153" s="401" t="s">
        <v>1074</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1075</v>
      </c>
    </row>
    <row r="160" spans="1:13" x14ac:dyDescent="0.2">
      <c r="A160" s="401" t="s">
        <v>284</v>
      </c>
      <c r="B160" s="403">
        <v>0.75</v>
      </c>
    </row>
  </sheetData>
  <phoneticPr fontId="0" type="noConversion"/>
  <conditionalFormatting sqref="J25:L25">
    <cfRule type="expression" dxfId="1"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288</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780</v>
      </c>
      <c r="D4" s="436" t="s">
        <v>781</v>
      </c>
      <c r="E4" s="437" t="s">
        <v>782</v>
      </c>
      <c r="F4" s="437" t="s">
        <v>783</v>
      </c>
      <c r="G4" s="437" t="s">
        <v>784</v>
      </c>
      <c r="H4" s="442" t="s">
        <v>785</v>
      </c>
      <c r="I4" s="442" t="s">
        <v>236</v>
      </c>
      <c r="J4" s="531" t="s">
        <v>169</v>
      </c>
      <c r="K4" s="531" t="s">
        <v>105</v>
      </c>
      <c r="L4" s="531" t="s">
        <v>166</v>
      </c>
      <c r="M4" s="531" t="s">
        <v>107</v>
      </c>
      <c r="N4" s="531" t="s">
        <v>108</v>
      </c>
      <c r="O4" s="531" t="s">
        <v>109</v>
      </c>
      <c r="P4" s="531" t="s">
        <v>110</v>
      </c>
      <c r="Q4" s="531" t="s">
        <v>111</v>
      </c>
      <c r="R4" s="531" t="s">
        <v>112</v>
      </c>
      <c r="S4" s="531" t="s">
        <v>32</v>
      </c>
      <c r="T4" s="531" t="s">
        <v>31</v>
      </c>
      <c r="U4" s="532" t="s">
        <v>167</v>
      </c>
      <c r="V4" s="531" t="s">
        <v>168</v>
      </c>
      <c r="W4" s="531" t="s">
        <v>445</v>
      </c>
      <c r="X4" s="531" t="s">
        <v>495</v>
      </c>
      <c r="Y4" s="531" t="s">
        <v>496</v>
      </c>
      <c r="Z4" s="531" t="s">
        <v>533</v>
      </c>
      <c r="AA4" s="531" t="s">
        <v>1098</v>
      </c>
    </row>
    <row r="5" spans="1:27" s="449" customFormat="1" ht="19.5" customHeight="1" x14ac:dyDescent="0.2">
      <c r="A5" s="439" t="s">
        <v>89</v>
      </c>
      <c r="B5" s="443" t="s">
        <v>98</v>
      </c>
      <c r="C5" s="439" t="s">
        <v>249</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249</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249</v>
      </c>
      <c r="D7" s="444" t="s">
        <v>115</v>
      </c>
      <c r="E7" s="440">
        <v>2</v>
      </c>
      <c r="F7" s="440">
        <v>6</v>
      </c>
      <c r="G7" s="440">
        <v>1000</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249</v>
      </c>
      <c r="D8" s="450" t="s">
        <v>116</v>
      </c>
      <c r="E8" s="451">
        <v>6</v>
      </c>
      <c r="F8" s="451">
        <v>3</v>
      </c>
      <c r="G8" s="451">
        <v>1200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249</v>
      </c>
      <c r="D9" s="458" t="s">
        <v>1104</v>
      </c>
      <c r="E9" s="459">
        <v>3</v>
      </c>
      <c r="F9" s="459"/>
      <c r="G9" s="459">
        <v>325</v>
      </c>
      <c r="H9" s="449">
        <v>25</v>
      </c>
      <c r="I9" s="457">
        <v>5</v>
      </c>
      <c r="J9" s="460"/>
      <c r="K9" s="461"/>
      <c r="L9" s="461"/>
      <c r="M9" s="461"/>
      <c r="N9" s="461"/>
      <c r="O9" s="461"/>
      <c r="P9" s="461"/>
      <c r="Q9" s="461"/>
      <c r="R9" s="461"/>
      <c r="S9" s="461"/>
      <c r="T9" s="461"/>
      <c r="U9" s="461"/>
      <c r="V9" s="461"/>
      <c r="W9" s="440"/>
      <c r="X9" s="447"/>
      <c r="Y9" s="461"/>
      <c r="Z9" s="459"/>
      <c r="AA9" s="448"/>
    </row>
    <row r="10" spans="1:27" s="439" customFormat="1" ht="19.5" customHeight="1" x14ac:dyDescent="0.2">
      <c r="A10" s="439" t="s">
        <v>90</v>
      </c>
      <c r="B10" s="443" t="s">
        <v>30</v>
      </c>
      <c r="C10" s="439" t="s">
        <v>249</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249</v>
      </c>
      <c r="D11" s="444" t="s">
        <v>118</v>
      </c>
      <c r="E11" s="440">
        <v>2</v>
      </c>
      <c r="F11" s="440">
        <v>5</v>
      </c>
      <c r="G11" s="440">
        <v>1000</v>
      </c>
      <c r="H11" s="439">
        <v>25</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249</v>
      </c>
      <c r="D12" s="444" t="s">
        <v>1105</v>
      </c>
      <c r="E12" s="440">
        <v>6</v>
      </c>
      <c r="F12" s="440">
        <v>3</v>
      </c>
      <c r="G12" s="440">
        <v>1150</v>
      </c>
      <c r="H12" s="439">
        <v>40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251</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251</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251</v>
      </c>
      <c r="D15" s="444" t="s">
        <v>121</v>
      </c>
      <c r="E15" s="440">
        <v>4</v>
      </c>
      <c r="F15" s="440">
        <v>4.5</v>
      </c>
      <c r="G15" s="440">
        <v>850</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251</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v>0.1</v>
      </c>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250</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250</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250</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250</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251</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251</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251</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251</v>
      </c>
      <c r="D28" s="450" t="s">
        <v>134</v>
      </c>
      <c r="E28" s="451">
        <v>6.5</v>
      </c>
      <c r="F28" s="451">
        <v>3</v>
      </c>
      <c r="G28" s="451">
        <v>750</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0.05</v>
      </c>
      <c r="N29" s="461">
        <v>-0.15</v>
      </c>
      <c r="O29" s="461"/>
      <c r="P29" s="461"/>
      <c r="Q29" s="461"/>
      <c r="R29" s="461"/>
      <c r="S29" s="461"/>
      <c r="T29" s="461">
        <v>0.05</v>
      </c>
      <c r="U29" s="461"/>
      <c r="V29" s="461"/>
      <c r="W29" s="440"/>
      <c r="X29" s="447"/>
      <c r="Y29" s="459"/>
      <c r="Z29" s="459"/>
      <c r="AA29" s="466">
        <v>0.05</v>
      </c>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250</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250</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250</v>
      </c>
      <c r="D39" s="444" t="s">
        <v>361</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250</v>
      </c>
      <c r="D40" s="450" t="s">
        <v>146</v>
      </c>
      <c r="E40" s="451">
        <v>6</v>
      </c>
      <c r="F40" s="451">
        <v>2</v>
      </c>
      <c r="G40" s="451">
        <v>1275</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249</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249</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249</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249</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248</v>
      </c>
      <c r="D45" s="458" t="s">
        <v>147</v>
      </c>
      <c r="E45" s="459">
        <v>4</v>
      </c>
      <c r="F45" s="459"/>
      <c r="G45" s="459">
        <v>425</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248</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248</v>
      </c>
      <c r="D47" s="444" t="s">
        <v>149</v>
      </c>
      <c r="E47" s="440">
        <v>0</v>
      </c>
      <c r="F47" s="440">
        <v>6</v>
      </c>
      <c r="G47" s="440">
        <v>1150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248</v>
      </c>
      <c r="D48" s="450" t="s">
        <v>1099</v>
      </c>
      <c r="E48" s="451">
        <v>6.5</v>
      </c>
      <c r="F48" s="451">
        <v>2</v>
      </c>
      <c r="G48" s="451">
        <v>1200</v>
      </c>
      <c r="H48" s="452">
        <v>50</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1111</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151</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152</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380</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153</v>
      </c>
      <c r="E53" s="459">
        <v>3</v>
      </c>
      <c r="F53" s="459"/>
      <c r="G53" s="459">
        <v>300</v>
      </c>
      <c r="H53" s="449">
        <v>10</v>
      </c>
      <c r="I53" s="457">
        <v>5</v>
      </c>
      <c r="J53" s="460">
        <v>2.5000000000000001E-2</v>
      </c>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1100</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1101</v>
      </c>
      <c r="E55" s="440">
        <v>3</v>
      </c>
      <c r="F55" s="440">
        <v>5</v>
      </c>
      <c r="G55" s="440">
        <v>1000</v>
      </c>
      <c r="H55" s="439">
        <v>30</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1102</v>
      </c>
      <c r="E56" s="451">
        <v>6</v>
      </c>
      <c r="F56" s="451">
        <v>0</v>
      </c>
      <c r="G56" s="451">
        <v>1150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248</v>
      </c>
      <c r="D57" s="458" t="s">
        <v>154</v>
      </c>
      <c r="E57" s="459">
        <v>3</v>
      </c>
      <c r="F57" s="459"/>
      <c r="G57" s="459">
        <v>325</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248</v>
      </c>
      <c r="D58" s="444" t="s">
        <v>155</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248</v>
      </c>
      <c r="D59" s="444" t="s">
        <v>156</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248</v>
      </c>
      <c r="D60" s="450" t="s">
        <v>157</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250</v>
      </c>
      <c r="D61" s="458" t="s">
        <v>158</v>
      </c>
      <c r="E61" s="459">
        <v>2</v>
      </c>
      <c r="F61" s="459"/>
      <c r="G61" s="459">
        <v>245</v>
      </c>
      <c r="H61" s="449">
        <v>20</v>
      </c>
      <c r="I61" s="457">
        <v>5</v>
      </c>
      <c r="J61" s="460">
        <v>0.4</v>
      </c>
      <c r="K61" s="461">
        <v>0.2</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250</v>
      </c>
      <c r="D62" s="444" t="s">
        <v>159</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250</v>
      </c>
      <c r="D63" s="444" t="s">
        <v>160</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250</v>
      </c>
      <c r="D64" s="450" t="s">
        <v>161</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162</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163</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164</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165</v>
      </c>
      <c r="E68" s="451">
        <v>6</v>
      </c>
      <c r="F68" s="451">
        <v>2</v>
      </c>
      <c r="G68" s="451">
        <v>1050</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335</v>
      </c>
      <c r="B69" s="457" t="s">
        <v>30</v>
      </c>
      <c r="C69" s="449" t="s">
        <v>251</v>
      </c>
      <c r="D69" s="458" t="s">
        <v>336</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335</v>
      </c>
      <c r="B70" s="443" t="s">
        <v>30</v>
      </c>
      <c r="C70" s="439" t="s">
        <v>251</v>
      </c>
      <c r="D70" s="444" t="s">
        <v>337</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335</v>
      </c>
      <c r="B71" s="443" t="s">
        <v>30</v>
      </c>
      <c r="C71" s="439" t="s">
        <v>251</v>
      </c>
      <c r="D71" s="444" t="s">
        <v>338</v>
      </c>
      <c r="E71" s="440">
        <v>3</v>
      </c>
      <c r="F71" s="440">
        <v>3</v>
      </c>
      <c r="G71" s="440">
        <v>900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335</v>
      </c>
      <c r="B72" s="462" t="s">
        <v>30</v>
      </c>
      <c r="C72" s="452" t="s">
        <v>251</v>
      </c>
      <c r="D72" s="450" t="s">
        <v>339</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349</v>
      </c>
      <c r="B73" s="457" t="s">
        <v>98</v>
      </c>
      <c r="C73" s="449" t="s">
        <v>248</v>
      </c>
      <c r="D73" s="458" t="s">
        <v>343</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349</v>
      </c>
      <c r="B74" s="443" t="s">
        <v>98</v>
      </c>
      <c r="C74" s="439" t="s">
        <v>248</v>
      </c>
      <c r="D74" s="444" t="s">
        <v>344</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349</v>
      </c>
      <c r="B75" s="443" t="s">
        <v>98</v>
      </c>
      <c r="C75" s="439" t="s">
        <v>248</v>
      </c>
      <c r="D75" s="444" t="s">
        <v>345</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349</v>
      </c>
      <c r="B76" s="462" t="s">
        <v>98</v>
      </c>
      <c r="C76" s="452" t="s">
        <v>248</v>
      </c>
      <c r="D76" s="450" t="s">
        <v>346</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362</v>
      </c>
      <c r="E77" s="459">
        <v>3.5</v>
      </c>
      <c r="F77" s="459"/>
      <c r="G77" s="459">
        <v>330</v>
      </c>
      <c r="H77" s="449">
        <v>20</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331</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381</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363</v>
      </c>
      <c r="E80" s="451">
        <v>4</v>
      </c>
      <c r="F80" s="451">
        <v>3</v>
      </c>
      <c r="G80" s="451">
        <v>1150</v>
      </c>
      <c r="H80" s="452">
        <v>100</v>
      </c>
      <c r="I80" s="462">
        <f>1.8 * MIN(6, MAX(E80,F80)) + 0.45 * MIN(6, MIN(E80,F80)) + IF(E80&gt;6, (E80-6)*0.2) + IF(F80&gt;6, (F80-6)*0.2)</f>
        <v>8.5500000000000007</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507</v>
      </c>
      <c r="B81" s="457" t="s">
        <v>30</v>
      </c>
      <c r="C81" s="463" t="s">
        <v>60</v>
      </c>
      <c r="D81" s="449" t="s">
        <v>428</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507</v>
      </c>
      <c r="B82" s="443" t="s">
        <v>30</v>
      </c>
      <c r="C82" s="464" t="s">
        <v>60</v>
      </c>
      <c r="D82" s="439" t="s">
        <v>429</v>
      </c>
      <c r="E82" s="440"/>
      <c r="F82" s="440">
        <v>3</v>
      </c>
      <c r="G82" s="440">
        <v>325</v>
      </c>
      <c r="H82" s="439">
        <v>8</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507</v>
      </c>
      <c r="B83" s="443" t="s">
        <v>30</v>
      </c>
      <c r="C83" s="464" t="s">
        <v>60</v>
      </c>
      <c r="D83" s="439" t="s">
        <v>430</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507</v>
      </c>
      <c r="B84" s="443" t="s">
        <v>30</v>
      </c>
      <c r="C84" s="464" t="s">
        <v>60</v>
      </c>
      <c r="D84" s="439" t="s">
        <v>431</v>
      </c>
      <c r="E84" s="440">
        <v>5</v>
      </c>
      <c r="F84" s="440">
        <v>2</v>
      </c>
      <c r="G84" s="440">
        <v>970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786</v>
      </c>
      <c r="B85" s="443" t="s">
        <v>786</v>
      </c>
      <c r="C85" s="464" t="s">
        <v>786</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786</v>
      </c>
      <c r="B86" s="443" t="s">
        <v>786</v>
      </c>
      <c r="C86" s="464" t="s">
        <v>786</v>
      </c>
      <c r="D86" s="76" t="s">
        <v>187</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786</v>
      </c>
      <c r="B87" s="443" t="s">
        <v>786</v>
      </c>
      <c r="C87" s="464" t="s">
        <v>786</v>
      </c>
      <c r="D87" s="76" t="s">
        <v>188</v>
      </c>
      <c r="G87" s="440">
        <v>1000</v>
      </c>
      <c r="H87" s="440" t="s">
        <v>254</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366</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335</v>
      </c>
      <c r="B105" s="360">
        <v>69</v>
      </c>
      <c r="J105" s="472"/>
      <c r="K105" s="472"/>
      <c r="L105" s="472"/>
      <c r="M105" s="472"/>
      <c r="N105" s="472"/>
      <c r="O105" s="472"/>
      <c r="P105" s="472"/>
      <c r="Q105" s="472"/>
      <c r="R105" s="472"/>
      <c r="S105" s="472"/>
      <c r="T105" s="472"/>
      <c r="U105" s="472"/>
      <c r="V105" s="472"/>
    </row>
    <row r="106" spans="1:22" ht="19.5" customHeight="1" x14ac:dyDescent="0.2">
      <c r="A106" s="467" t="s">
        <v>349</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507</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240</v>
      </c>
      <c r="C2" s="3" t="s">
        <v>291</v>
      </c>
      <c r="D2" s="3" t="s">
        <v>292</v>
      </c>
      <c r="E2" s="3" t="s">
        <v>243</v>
      </c>
      <c r="F2" s="3" t="s">
        <v>242</v>
      </c>
      <c r="G2" s="3"/>
      <c r="H2" s="3"/>
      <c r="I2" s="3" t="s">
        <v>241</v>
      </c>
      <c r="J2" s="3" t="s">
        <v>244</v>
      </c>
      <c r="K2" s="12"/>
    </row>
    <row r="3" spans="2:11" ht="13.5" thickBot="1" x14ac:dyDescent="0.25">
      <c r="B3" s="8" t="s">
        <v>379</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246</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247</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289</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290</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9" t="s">
        <v>446</v>
      </c>
      <c r="I18" s="609"/>
      <c r="J18" s="609"/>
      <c r="K18" s="610"/>
    </row>
    <row r="20" spans="1:14" ht="13.5" thickBot="1" x14ac:dyDescent="0.25">
      <c r="H20" s="1"/>
      <c r="I20" s="1"/>
      <c r="L20" t="s">
        <v>438</v>
      </c>
    </row>
    <row r="21" spans="1:14" ht="13.5" thickBot="1" x14ac:dyDescent="0.25">
      <c r="E21" t="s">
        <v>302</v>
      </c>
      <c r="F21" s="36">
        <v>0.125</v>
      </c>
      <c r="H21" s="1"/>
      <c r="I21" s="1"/>
      <c r="J21" t="s">
        <v>439</v>
      </c>
      <c r="K21" t="s">
        <v>440</v>
      </c>
      <c r="L21" s="35">
        <v>0.3</v>
      </c>
      <c r="M21" t="s">
        <v>441</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436</v>
      </c>
      <c r="J27" s="29">
        <v>1250</v>
      </c>
      <c r="K27" s="1">
        <f>J27*25</f>
        <v>31250</v>
      </c>
      <c r="M27" s="37">
        <f>SUM(M22:M26)</f>
        <v>52425.504910394266</v>
      </c>
      <c r="N27" t="s">
        <v>441</v>
      </c>
    </row>
    <row r="28" spans="1:14" ht="13.5" thickBot="1" x14ac:dyDescent="0.25">
      <c r="H28" s="1"/>
      <c r="I28" s="1" t="s">
        <v>437</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450</v>
      </c>
    </row>
    <row r="32" spans="1:14" ht="13.5" thickBot="1" x14ac:dyDescent="0.25">
      <c r="H32" s="1"/>
      <c r="I32" s="1"/>
      <c r="J32" t="s">
        <v>439</v>
      </c>
      <c r="K32" t="s">
        <v>440</v>
      </c>
      <c r="L32" s="35">
        <v>0.2</v>
      </c>
      <c r="M32" t="s">
        <v>441</v>
      </c>
      <c r="N32" t="s">
        <v>452</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361</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436</v>
      </c>
      <c r="J38" s="29">
        <v>2337</v>
      </c>
      <c r="K38" s="1">
        <f>J38*25</f>
        <v>58425</v>
      </c>
      <c r="M38" s="37"/>
      <c r="N38" s="37"/>
    </row>
    <row r="39" spans="1:14" ht="13.5" thickBot="1" x14ac:dyDescent="0.25">
      <c r="H39" s="1"/>
      <c r="I39" s="1" t="s">
        <v>451</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291</v>
      </c>
      <c r="D51" s="3" t="s">
        <v>292</v>
      </c>
      <c r="E51" s="3" t="s">
        <v>243</v>
      </c>
      <c r="F51" s="3" t="s">
        <v>242</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2022-06-21T15:04:43Z</dcterms:modified>
</cp:coreProperties>
</file>