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A64B8B77-F38E-421F-8CA1-1953F54551A6}"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Constants!$C$118</definedName>
    <definedName name="adept_dp_cap">Constants!$F$118</definedName>
    <definedName name="adept_op_bonus">Constants!$C$117</definedName>
    <definedName name="adept_op_cap">Constants!$F$117</definedName>
    <definedName name="alch_plat">Constants!$B$4</definedName>
    <definedName name="alchemist_flame_bonus">Constants!$F$86</definedName>
    <definedName name="archmage_plat">Overview!$D$28</definedName>
    <definedName name="ares_call_bonus">Constants!$F$76</definedName>
    <definedName name="barracks_size">Constants!$B$63</definedName>
    <definedName name="blizzard_bonus">Constants!$F$85</definedName>
    <definedName name="boat_size">Constants!$B$90</definedName>
    <definedName name="bone_breaker_bonus">Constants!$C$122</definedName>
    <definedName name="bone_breaker_cap">Constants!$F$122</definedName>
    <definedName name="building_employment">Constants!$B$126</definedName>
    <definedName name="dark_elf">Military!$CH$8</definedName>
    <definedName name="days_late">Overview!$B$18</definedName>
    <definedName name="days_late_def_specs">Constants!$E$51</definedName>
    <definedName name="days_late_draftees">Constants!$E$52</definedName>
    <definedName name="days_late_food">Constants!$E$47</definedName>
    <definedName name="days_late_lumber">Constants!$E$48</definedName>
    <definedName name="days_late_mana">Constants!$E$50</definedName>
    <definedName name="days_late_ore">Constants!$E$49</definedName>
    <definedName name="days_late_peasants">Constants!$E$45</definedName>
    <definedName name="days_late_plat">Constants!$E$46</definedName>
    <definedName name="dm_gems">Constants!$B$8</definedName>
    <definedName name="dock_boats_hr">Constants!$B$10</definedName>
    <definedName name="dock_food">Constants!$D$10</definedName>
    <definedName name="druid_dp_bonus">Constants!$C$114</definedName>
    <definedName name="druid_dp_cap">Constants!$F$114</definedName>
    <definedName name="druid_op_bonus">Constants!$C$113</definedName>
    <definedName name="druid_op_cap">Constants!$F$113</definedName>
    <definedName name="dryad_bonus">Constants!$C$115</definedName>
    <definedName name="dryad_cap">Constants!$F$115</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h_spy_cost_cap">Constants!$D$15</definedName>
    <definedName name="fh_spy_cost_red">Constants!$B$15</definedName>
    <definedName name="food_decay">Constants!$B$54</definedName>
    <definedName name="food_per_person">Constants!$B$59</definedName>
    <definedName name="frenzy_bonus">Constants!$F$81</definedName>
    <definedName name="frost_mage_bonus">Constants!$C$119</definedName>
    <definedName name="frost_mage_cap">Constants!$F$119</definedName>
    <definedName name="gaias_blessing_food">Constants!$F$83</definedName>
    <definedName name="gaias_blessing_lumber">Constants!$H$83</definedName>
    <definedName name="gaias_watch_bonus">Constants!$F$74</definedName>
    <definedName name="gem_invest">Constants!$B$155</definedName>
    <definedName name="global_constr_cap">Constants!$B$158</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Constants!$D$103</definedName>
    <definedName name="harbor_towers_param">Constants!$D$108</definedName>
    <definedName name="harmony_bonus">Constants!$F$77</definedName>
    <definedName name="home_land">Overview!$B$69</definedName>
    <definedName name="howling_dp_bonus">Constants!$H$84</definedName>
    <definedName name="howling_op_bonus">Constants!$F$84</definedName>
    <definedName name="ice_elem_bonus">Constants!$C$120</definedName>
    <definedName name="ice_elem_cap">Constants!$F$120</definedName>
    <definedName name="icekin">Military!$CH$10</definedName>
    <definedName name="Imps">Imps!$CD$35:$CD$40</definedName>
    <definedName name="keep_cap">Constants!$D$100</definedName>
    <definedName name="keep_param">Constants!$D$105</definedName>
    <definedName name="kobold">Military!$CH$9</definedName>
    <definedName name="lumber_invest">Constants!$B$153</definedName>
    <definedName name="lumber_rot">Constants!$B$55</definedName>
    <definedName name="ly_lumber">Constants!$B$6</definedName>
    <definedName name="mana_drain">Constants!$B$56</definedName>
    <definedName name="mason_bonus">Constants!$B$19</definedName>
    <definedName name="mech_genius_bonus">Constants!$F$80</definedName>
    <definedName name="midas_bonus">Constants!$F$78</definedName>
    <definedName name="min_tech_cost">Constants!$M$63</definedName>
    <definedName name="miners_sight_bonus">Constants!$F$79</definedName>
    <definedName name="mining_strength_bonus">Constants!$F$75</definedName>
    <definedName name="mystic_bonus">Constants!$C$112</definedName>
    <definedName name="mystic_cap">Constants!$F$112</definedName>
    <definedName name="nightfall_bonus">Constants!$F$87</definedName>
    <definedName name="nightshade_bonus">Constants!$C$123</definedName>
    <definedName name="nox">Military!$CH$12</definedName>
    <definedName name="nox_nightshade_cap">Constants!$F$123</definedName>
    <definedName name="nox_nightshade_swamp_bonus">Constants!$C$123</definedName>
    <definedName name="om_ore">Constants!$B$7</definedName>
    <definedName name="orc">Military!$CH$11</definedName>
    <definedName name="ore_invest">Constants!$B$154</definedName>
    <definedName name="plat_invest">Constants!$B$152</definedName>
    <definedName name="pop_in_building">Constants!$B$67</definedName>
    <definedName name="pop_in_home">Constants!$B$64</definedName>
    <definedName name="pop_on_barren">Constants!$B$68</definedName>
    <definedName name="prestige_food_bonus">Constants!$B$94</definedName>
    <definedName name="prestige_multiplier">Constants!$B$95</definedName>
    <definedName name="prestige_offense_bonus">Constants!$B$96</definedName>
    <definedName name="prestige_pop_multiplier">Constants!$B$95</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Constants!$B$53</definedName>
    <definedName name="raw_pop_growth">Constants!$B$52</definedName>
    <definedName name="research_bonus">Overview!$I$31</definedName>
    <definedName name="resources">Imps!$CD$30:$CD$33</definedName>
    <definedName name="rocka_bonus">Constants!$C$116</definedName>
    <definedName name="rocka_cap">Constants!$F$116</definedName>
    <definedName name="school_max">Constants!$D$22</definedName>
    <definedName name="school_rp">Constants!$B$22</definedName>
    <definedName name="science_cap">Constants!$D$101</definedName>
    <definedName name="science_param">Constants!$D$106</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Constants!$B$25</definedName>
    <definedName name="start_ams">Constants!$B$40</definedName>
    <definedName name="start_boats">Constants!$B$49</definedName>
    <definedName name="start_caverns">Constants!$F$29</definedName>
    <definedName name="start_dm">Constants!$Q$25</definedName>
    <definedName name="start_docks">Constants!$S$25</definedName>
    <definedName name="start_dp_specs">Constants!$B$35</definedName>
    <definedName name="start_draftees">Constants!$B$33</definedName>
    <definedName name="start_elite1s">Constants!$B$36</definedName>
    <definedName name="start_elite2s">Constants!$B$37</definedName>
    <definedName name="start_facs">Constants!$J$25</definedName>
    <definedName name="start_farms">Constants!$C$25</definedName>
    <definedName name="start_food">Constants!$B$44</definedName>
    <definedName name="start_forest">Constants!$B$29</definedName>
    <definedName name="start_gems">Constants!$B$48</definedName>
    <definedName name="start_gn">Constants!$I$25</definedName>
    <definedName name="start_gt">Constants!$K$25</definedName>
    <definedName name="start_havens">Constants!$G$25</definedName>
    <definedName name="start_hills">Constants!$D$29</definedName>
    <definedName name="start_homes">Constants!$A$25</definedName>
    <definedName name="start_lumber">Constants!$B$45</definedName>
    <definedName name="start_ly">Constants!$F$25</definedName>
    <definedName name="start_mana">Constants!$B$46</definedName>
    <definedName name="start_masons">Constants!$E$25</definedName>
    <definedName name="start_mountains">Constants!$C$29</definedName>
    <definedName name="start_om">Constants!$H$25</definedName>
    <definedName name="start_op_specs">Constants!$B$34</definedName>
    <definedName name="start_ore">Constants!$B$47</definedName>
    <definedName name="start_peasants">Constants!$B$32</definedName>
    <definedName name="start_plains">Constants!$A$29</definedName>
    <definedName name="start_plat">Constants!$B$43</definedName>
    <definedName name="start_prestige">Constants!$B$93</definedName>
    <definedName name="start_rax">Constants!$L$25</definedName>
    <definedName name="start_schools">Constants!$R$25</definedName>
    <definedName name="start_shrines">Constants!$M$25</definedName>
    <definedName name="start_smithies">Constants!$D$25</definedName>
    <definedName name="start_spies">Constants!$B$38</definedName>
    <definedName name="start_swamp">Constants!$E$29</definedName>
    <definedName name="start_temples">Constants!$O$25</definedName>
    <definedName name="start_towers">Constants!$N$25</definedName>
    <definedName name="start_water">Constants!$G$29</definedName>
    <definedName name="start_wg">Constants!$P$25</definedName>
    <definedName name="start_wizards">Constants!$B$39</definedName>
    <definedName name="sylvan">Military!$CH$6</definedName>
    <definedName name="tax">Constants!$B$60</definedName>
    <definedName name="tech_1_1">Constants!$M$66</definedName>
    <definedName name="tech_1_10">Constants!$M$75</definedName>
    <definedName name="tech_1_11">Constants!$M$76</definedName>
    <definedName name="tech_1_2">Constants!$M$67</definedName>
    <definedName name="tech_1_3">Constants!$M$68</definedName>
    <definedName name="tech_1_4">Constants!$M$69</definedName>
    <definedName name="tech_1_5">Constants!$M$70</definedName>
    <definedName name="tech_1_6">Constants!$M$71</definedName>
    <definedName name="tech_1_7">Constants!$M$72</definedName>
    <definedName name="tech_1_8">Constants!$M$73</definedName>
    <definedName name="tech_1_9">Constants!$M$74</definedName>
    <definedName name="tech_1_9_2">Constants!$O$74</definedName>
    <definedName name="tech_10_1">Constants!$M$138</definedName>
    <definedName name="tech_10_2">Constants!$M$139</definedName>
    <definedName name="tech_11_1">Constants!$M$141</definedName>
    <definedName name="tech_2_1">Constants!$M$78</definedName>
    <definedName name="tech_2_10">Constants!$M$87</definedName>
    <definedName name="tech_2_2">Constants!$M$79</definedName>
    <definedName name="tech_2_3">Constants!$M$80</definedName>
    <definedName name="tech_2_4">Constants!$M$81</definedName>
    <definedName name="tech_2_5">Constants!$M$82</definedName>
    <definedName name="tech_2_6">Constants!$M$83</definedName>
    <definedName name="tech_2_6_2">Constants!$O$83</definedName>
    <definedName name="tech_2_7">Constants!$M$84</definedName>
    <definedName name="tech_2_8">Constants!$M$85</definedName>
    <definedName name="tech_2_9">Constants!$M$86</definedName>
    <definedName name="tech_2_9_2">Constants!$O$86</definedName>
    <definedName name="tech_3_1">Constants!$M$89</definedName>
    <definedName name="tech_3_2">Constants!$M$90</definedName>
    <definedName name="tech_3_3">Constants!$M$91</definedName>
    <definedName name="tech_3_3_2">Constants!$O$91</definedName>
    <definedName name="tech_3_4">Constants!$M$92</definedName>
    <definedName name="tech_3_4_2">Constants!$O$92</definedName>
    <definedName name="tech_3_5">Constants!$M$93</definedName>
    <definedName name="tech_3_6">Constants!$M$94</definedName>
    <definedName name="tech_3_7">Constants!$M$95</definedName>
    <definedName name="tech_3_7_2">Constants!$O$95</definedName>
    <definedName name="tech_3_8">Constants!$M$96</definedName>
    <definedName name="tech_3_9">Constants!$M$97</definedName>
    <definedName name="tech_4_1">Constants!$M$99</definedName>
    <definedName name="tech_4_2">Constants!$M$100</definedName>
    <definedName name="tech_4_3">Constants!$M$101</definedName>
    <definedName name="tech_4_3_2">Constants!$O$101</definedName>
    <definedName name="tech_4_4">Constants!$M$102</definedName>
    <definedName name="tech_4_5">Constants!$M$103</definedName>
    <definedName name="tech_4_6">Constants!$M$104</definedName>
    <definedName name="tech_4_7">Constants!$M$105</definedName>
    <definedName name="tech_4_8">Constants!$M$106</definedName>
    <definedName name="tech_5_1">Constants!$M$108</definedName>
    <definedName name="tech_5_2">Constants!$M$109</definedName>
    <definedName name="tech_5_2_3">Constants!$O$109</definedName>
    <definedName name="tech_5_3">Constants!$M$110</definedName>
    <definedName name="tech_5_4">Constants!$M$111</definedName>
    <definedName name="tech_5_4_2">Constants!$O$111</definedName>
    <definedName name="tech_5_5">Constants!$M$112</definedName>
    <definedName name="tech_5_6">Constants!$M$113</definedName>
    <definedName name="tech_5_7">Constants!$M$114</definedName>
    <definedName name="tech_6_1">Constants!$M$116</definedName>
    <definedName name="tech_6_2">Constants!$M$117</definedName>
    <definedName name="tech_6_2_2">Constants!$O$117</definedName>
    <definedName name="tech_6_3">Constants!$M$118</definedName>
    <definedName name="tech_6_3_2">Constants!$O$118</definedName>
    <definedName name="tech_6_3_3">Constants!$Q$118</definedName>
    <definedName name="tech_6_4">Constants!$M$119</definedName>
    <definedName name="tech_6_5">Constants!$M$120</definedName>
    <definedName name="tech_6_5_2">Constants!$O$120</definedName>
    <definedName name="tech_6_6">Constants!$M$121</definedName>
    <definedName name="tech_6_6_2">Constants!$O$121</definedName>
    <definedName name="tech_7__2">Constants!$O$127</definedName>
    <definedName name="tech_7_1">Constants!$M$123</definedName>
    <definedName name="tech_7_2">Constants!$M$124</definedName>
    <definedName name="tech_7_3">Constants!$M$125</definedName>
    <definedName name="tech_7_3_2">Constants!$O$125</definedName>
    <definedName name="tech_7_4">Constants!$M$126</definedName>
    <definedName name="tech_7_5">Constants!$M$127</definedName>
    <definedName name="tech_8_1">Constants!$M$129</definedName>
    <definedName name="tech_8_2">Constants!$M$130</definedName>
    <definedName name="tech_8_3">Constants!$M$131</definedName>
    <definedName name="tech_8_4">Constants!$M$132</definedName>
    <definedName name="tech_9_1">Constants!$M$134</definedName>
    <definedName name="tech_9_1_2">Constants!$O$134</definedName>
    <definedName name="tech_9_2">Constants!$M$135</definedName>
    <definedName name="tech_9_3">Constants!$M$136</definedName>
    <definedName name="tech_conquerors_crafts">Constants!$M$54</definedName>
    <definedName name="tech_construction">Constants!$M$38</definedName>
    <definedName name="tech_construction_pop">Constants!$M$40</definedName>
    <definedName name="tech_construction_rezone">Constants!$M$39</definedName>
    <definedName name="tech_cost_per_acre">Constants!$M$61</definedName>
    <definedName name="tech_enchanted_lands_explore">Constants!$M$55</definedName>
    <definedName name="tech_enchanted_lands_mana">Constants!$O$55</definedName>
    <definedName name="tech_explore_cost">Constants!$M$35</definedName>
    <definedName name="tech_explore_cost2">Constants!$M$37</definedName>
    <definedName name="tech_explore_draft1">Constants!$M$36</definedName>
    <definedName name="tech_explore_draft2">Constants!$O$37</definedName>
    <definedName name="tech_fruits_of_labor_gems">Constants!$O$51</definedName>
    <definedName name="tech_fruits_of_labor1">Constants!$M$51</definedName>
    <definedName name="tech_magical_weaponry_op">Constants!$M$57</definedName>
    <definedName name="tech_magical_weaponry_wiz">Constants!$O$57</definedName>
    <definedName name="tech_master_of_frugality">Constants!$M$50</definedName>
    <definedName name="tech_military_offense">Constants!$M$43</definedName>
    <definedName name="tech_production_food">Constants!$M$32</definedName>
    <definedName name="tech_production_gems">Constants!$M$33</definedName>
    <definedName name="tech_production_plat">Constants!$M$34</definedName>
    <definedName name="tech_spy_cost">Constants!$M$45</definedName>
    <definedName name="tech_treasure_hunt_plat">Constants!$M$53</definedName>
    <definedName name="tech_urban_mastery_pop">Constants!$M$52</definedName>
    <definedName name="tech_wizard_cost">Constants!$M$48</definedName>
    <definedName name="tower_mana">Constants!$B$9</definedName>
    <definedName name="towers_param">Constants!$D$109</definedName>
    <definedName name="voodoo_magi_bonus">Constants!$C$121</definedName>
    <definedName name="voodoo_magi_cap">Constants!$F$121</definedName>
    <definedName name="walls_forges_cap">Constants!$D$102</definedName>
    <definedName name="walls_forges_param">Constants!$D$107</definedName>
    <definedName name="warsong_bonus">Constants!$F$82</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I15" i="4"/>
  <c r="I16" i="4"/>
  <c r="I17" i="4"/>
  <c r="I18" i="4"/>
  <c r="I19" i="4"/>
  <c r="I20" i="4"/>
  <c r="I21" i="4"/>
  <c r="I22" i="4"/>
  <c r="I23" i="4"/>
  <c r="I24" i="4"/>
  <c r="I25" i="4"/>
  <c r="I26" i="4"/>
  <c r="I27" i="4"/>
  <c r="I28" i="4"/>
  <c r="I29" i="4"/>
  <c r="I30" i="4"/>
  <c r="I31" i="4"/>
  <c r="I32" i="4"/>
  <c r="E15"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8" i="5"/>
  <c r="AT29" i="5"/>
  <c r="AT30" i="5"/>
  <c r="AT31" i="5"/>
  <c r="AT32" i="5"/>
  <c r="AT33" i="5"/>
  <c r="AT34" i="5"/>
  <c r="AT35" i="5"/>
  <c r="AT36" i="5"/>
  <c r="AT37" i="5"/>
  <c r="AT38" i="5"/>
  <c r="AT39"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Y6" i="5" s="1" a="1"/>
  <c r="AY6" i="5" s="1"/>
  <c r="AY7" i="5" s="1" a="1"/>
  <c r="AY7" i="5" s="1"/>
  <c r="AY8" i="5" s="1" a="1"/>
  <c r="AY8" i="5" s="1"/>
  <c r="AY9" i="5" s="1" a="1"/>
  <c r="AY9" i="5" s="1"/>
  <c r="AY10" i="5" s="1" a="1"/>
  <c r="AY10" i="5" s="1"/>
  <c r="AY11" i="5" s="1" a="1"/>
  <c r="AY11" i="5" s="1"/>
  <c r="AY12" i="5" s="1" a="1"/>
  <c r="AY12" i="5" s="1"/>
  <c r="AY13" i="5" s="1" a="1"/>
  <c r="AY13" i="5" s="1"/>
  <c r="AY14" i="5" s="1" a="1"/>
  <c r="AY14" i="5" s="1"/>
  <c r="AY15" i="5" s="1" a="1"/>
  <c r="AY15" i="5" s="1"/>
  <c r="AY16" i="5" s="1" a="1"/>
  <c r="AY16" i="5" s="1"/>
  <c r="AY17" i="5" s="1" a="1"/>
  <c r="AY17" i="5" s="1"/>
  <c r="AY18" i="5" s="1" a="1"/>
  <c r="AY18" i="5" s="1"/>
  <c r="AY19" i="5" s="1" a="1"/>
  <c r="AY19" i="5" s="1"/>
  <c r="AY20" i="5" s="1" a="1"/>
  <c r="AY20" i="5" s="1"/>
  <c r="AY21" i="5" s="1" a="1"/>
  <c r="AY21" i="5" s="1"/>
  <c r="AY22" i="5" s="1" a="1"/>
  <c r="AY22" i="5" s="1"/>
  <c r="AY23" i="5" s="1" a="1"/>
  <c r="AY23" i="5" s="1"/>
  <c r="AY24" i="5" s="1" a="1"/>
  <c r="AY24" i="5" s="1"/>
  <c r="AY25" i="5" s="1" a="1"/>
  <c r="AY25" i="5" s="1"/>
  <c r="AY26" i="5" s="1" a="1"/>
  <c r="AY26" i="5" s="1"/>
  <c r="AY27" i="5" s="1" a="1"/>
  <c r="AY27" i="5" s="1"/>
  <c r="AY28" i="5" s="1" a="1"/>
  <c r="AY28" i="5" s="1"/>
  <c r="AY29" i="5" s="1" a="1"/>
  <c r="AY29" i="5" s="1"/>
  <c r="AY30" i="5" s="1" a="1"/>
  <c r="AY30" i="5" s="1"/>
  <c r="AY31" i="5" s="1" a="1"/>
  <c r="AY31" i="5" s="1"/>
  <c r="AY32" i="5" s="1" a="1"/>
  <c r="AY32" i="5" s="1"/>
  <c r="AY33" i="5" s="1" a="1"/>
  <c r="AY33" i="5" s="1"/>
  <c r="AY34" i="5" s="1" a="1"/>
  <c r="AY34" i="5" s="1"/>
  <c r="AY35" i="5" s="1" a="1"/>
  <c r="AY35" i="5" s="1"/>
  <c r="AY36" i="5" s="1" a="1"/>
  <c r="AY36" i="5" s="1"/>
  <c r="AY37" i="5" s="1" a="1"/>
  <c r="AY37" i="5" s="1"/>
  <c r="AY38" i="5" s="1" a="1"/>
  <c r="AY38" i="5" s="1"/>
  <c r="AY39" i="5" s="1" a="1"/>
  <c r="AY39" i="5" s="1"/>
  <c r="AY40" i="5" s="1" a="1"/>
  <c r="AY40" i="5" s="1"/>
  <c r="AY41" i="5" s="1" a="1"/>
  <c r="AY41" i="5" s="1"/>
  <c r="AY42" i="5" s="1" a="1"/>
  <c r="AY42" i="5" s="1"/>
  <c r="AY43" i="5" s="1" a="1"/>
  <c r="AY43" i="5" s="1"/>
  <c r="AY44" i="5" s="1" a="1"/>
  <c r="AY44" i="5" s="1"/>
  <c r="AY45" i="5" s="1" a="1"/>
  <c r="AY45" i="5" s="1"/>
  <c r="AY46" i="5" s="1" a="1"/>
  <c r="AY46" i="5" s="1"/>
  <c r="AY47" i="5" s="1" a="1"/>
  <c r="AY47" i="5" s="1"/>
  <c r="AY48" i="5" s="1" a="1"/>
  <c r="AY48" i="5" s="1"/>
  <c r="AY49" i="5" s="1" a="1"/>
  <c r="AY49" i="5" s="1"/>
  <c r="AY50" i="5" s="1" a="1"/>
  <c r="AY50" i="5" s="1"/>
  <c r="AY51" i="5" s="1" a="1"/>
  <c r="AY51" i="5" s="1"/>
  <c r="AY52" i="5" s="1" a="1"/>
  <c r="AY52" i="5" s="1"/>
  <c r="AY53" i="5" s="1" a="1"/>
  <c r="AY53" i="5" s="1"/>
  <c r="AY54" i="5" s="1" a="1"/>
  <c r="AY54" i="5" s="1"/>
  <c r="AY55" i="5" s="1" a="1"/>
  <c r="AY55" i="5" s="1"/>
  <c r="AY56" i="5" s="1" a="1"/>
  <c r="AY56" i="5" s="1"/>
  <c r="AY57" i="5" s="1" a="1"/>
  <c r="AY57" i="5" s="1"/>
  <c r="AY58" i="5" s="1" a="1"/>
  <c r="AY58" i="5" s="1"/>
  <c r="AY59" i="5" s="1" a="1"/>
  <c r="AY59" i="5" s="1"/>
  <c r="AY60" i="5" s="1" a="1"/>
  <c r="AY60" i="5" s="1"/>
  <c r="AY61" i="5" s="1" a="1"/>
  <c r="AY61" i="5" s="1"/>
  <c r="AY62" i="5" s="1" a="1"/>
  <c r="AY62" i="5" s="1"/>
  <c r="AY63" i="5" s="1" a="1"/>
  <c r="AY63" i="5" s="1"/>
  <c r="AY64" i="5" s="1" a="1"/>
  <c r="AY64" i="5" s="1"/>
  <c r="AY65" i="5" s="1" a="1"/>
  <c r="AY65" i="5" s="1"/>
  <c r="AY66" i="5" s="1" a="1"/>
  <c r="AY66" i="5" s="1"/>
  <c r="AY67" i="5" s="1" a="1"/>
  <c r="AY67" i="5" s="1"/>
  <c r="AY68" i="5" s="1" a="1"/>
  <c r="AY68" i="5" s="1"/>
  <c r="AY69" i="5" s="1" a="1"/>
  <c r="AY69" i="5" s="1"/>
  <c r="AY70" i="5" s="1" a="1"/>
  <c r="AY70" i="5" s="1"/>
  <c r="AY71" i="5" s="1" a="1"/>
  <c r="AY71" i="5" s="1"/>
  <c r="AY72" i="5" s="1" a="1"/>
  <c r="AY72" i="5" s="1"/>
  <c r="AY73" i="5" s="1" a="1"/>
  <c r="AY73" i="5" s="1"/>
  <c r="AY74" i="5" s="1" a="1"/>
  <c r="AY74" i="5" s="1"/>
  <c r="AY75" i="5" s="1" a="1"/>
  <c r="AY75" i="5" s="1"/>
  <c r="AY76" i="5" s="1" a="1"/>
  <c r="AY76" i="5" s="1"/>
  <c r="AY77" i="5" s="1" a="1"/>
  <c r="AY77" i="5" s="1"/>
  <c r="AY78" i="5" s="1" a="1"/>
  <c r="AY78" i="5" s="1"/>
  <c r="AY79" i="5" s="1" a="1"/>
  <c r="AY79" i="5" s="1"/>
  <c r="AY80" i="5" s="1" a="1"/>
  <c r="AY80" i="5" s="1"/>
  <c r="AY81" i="5" s="1" a="1"/>
  <c r="AY81" i="5" s="1"/>
  <c r="AY82" i="5" s="1" a="1"/>
  <c r="AY82" i="5" s="1"/>
  <c r="AY83" i="5" s="1" a="1"/>
  <c r="AY83" i="5" s="1"/>
  <c r="AY84" i="5" s="1" a="1"/>
  <c r="AY84" i="5" s="1"/>
  <c r="AY85" i="5" s="1" a="1"/>
  <c r="AY85" i="5" s="1"/>
  <c r="AY86" i="5" s="1" a="1"/>
  <c r="AY86" i="5" s="1"/>
  <c r="AY87" i="5" s="1" a="1"/>
  <c r="AY87" i="5" s="1"/>
  <c r="AY88" i="5" s="1" a="1"/>
  <c r="AY88" i="5" s="1"/>
  <c r="AY89" i="5" s="1" a="1"/>
  <c r="AY89" i="5" s="1"/>
  <c r="AY90" i="5" s="1" a="1"/>
  <c r="AY90" i="5" s="1"/>
  <c r="AY91" i="5" s="1" a="1"/>
  <c r="AY91" i="5" s="1"/>
  <c r="AY92" i="5" s="1" a="1"/>
  <c r="AY92" i="5" s="1"/>
  <c r="AY93" i="5" s="1" a="1"/>
  <c r="AY93" i="5" s="1"/>
  <c r="AY94" i="5" s="1" a="1"/>
  <c r="AY94" i="5" s="1"/>
  <c r="AY95" i="5" s="1" a="1"/>
  <c r="AY95" i="5" s="1"/>
  <c r="AY96" i="5" s="1" a="1"/>
  <c r="AY96" i="5" s="1"/>
  <c r="AY97" i="5" s="1" a="1"/>
  <c r="AY97" i="5" s="1"/>
  <c r="AY98" i="5" s="1" a="1"/>
  <c r="AY98" i="5" s="1"/>
  <c r="AY99" i="5" s="1" a="1"/>
  <c r="AY99" i="5" s="1"/>
  <c r="AY100" i="5" s="1" a="1"/>
  <c r="AY100" i="5" s="1"/>
  <c r="AY101" i="5" s="1" a="1"/>
  <c r="AY101" i="5" s="1"/>
  <c r="AY102" i="5" s="1" a="1"/>
  <c r="AY102" i="5" s="1"/>
  <c r="AY103" i="5" s="1" a="1"/>
  <c r="AY103" i="5" s="1"/>
  <c r="AY104" i="5" s="1" a="1"/>
  <c r="AY104" i="5" s="1"/>
  <c r="AY105" i="5" s="1" a="1"/>
  <c r="AY105" i="5" s="1"/>
  <c r="AY106" i="5" s="1" a="1"/>
  <c r="AY106" i="5" s="1"/>
  <c r="AY107" i="5" s="1" a="1"/>
  <c r="AY107" i="5" s="1"/>
  <c r="AY108" i="5" s="1" a="1"/>
  <c r="AY108" i="5" s="1"/>
  <c r="AY109" i="5" s="1" a="1"/>
  <c r="AY109" i="5" s="1"/>
  <c r="AY110" i="5" s="1" a="1"/>
  <c r="AY110" i="5" s="1"/>
  <c r="AY111" i="5" s="1" a="1"/>
  <c r="AY111" i="5" s="1"/>
  <c r="AY112" i="5" s="1" a="1"/>
  <c r="AY112" i="5" s="1"/>
  <c r="AY113" i="5" s="1" a="1"/>
  <c r="AY113" i="5" s="1"/>
  <c r="AY114" i="5" s="1" a="1"/>
  <c r="AY114" i="5" s="1"/>
  <c r="AY115" i="5" s="1" a="1"/>
  <c r="AY115" i="5" s="1"/>
  <c r="AY116" i="5" s="1" a="1"/>
  <c r="AY116" i="5" s="1"/>
  <c r="AY117" i="5" s="1" a="1"/>
  <c r="AY117" i="5" s="1"/>
  <c r="AY118" i="5" s="1" a="1"/>
  <c r="AY118" i="5" s="1"/>
  <c r="AY119" i="5" s="1" a="1"/>
  <c r="AY119" i="5" s="1"/>
  <c r="AY120" i="5" s="1" a="1"/>
  <c r="AY120" i="5" s="1"/>
  <c r="AY121" i="5" s="1" a="1"/>
  <c r="AY121" i="5" s="1"/>
  <c r="AY122" i="5" s="1" a="1"/>
  <c r="AY122" i="5" s="1"/>
  <c r="AY123" i="5" s="1" a="1"/>
  <c r="AY123" i="5" s="1"/>
  <c r="AY124" i="5" s="1" a="1"/>
  <c r="AY124" i="5" s="1"/>
  <c r="AY125" i="5" s="1" a="1"/>
  <c r="AY125" i="5" s="1"/>
  <c r="AY126" i="5" s="1" a="1"/>
  <c r="AY126" i="5" s="1"/>
  <c r="AY127" i="5" s="1" a="1"/>
  <c r="AY127" i="5" s="1"/>
  <c r="AY128" i="5" s="1" a="1"/>
  <c r="AY128" i="5" s="1"/>
  <c r="AY129" i="5" s="1" a="1"/>
  <c r="AY129" i="5" s="1"/>
  <c r="AY130" i="5" s="1" a="1"/>
  <c r="AY130" i="5" s="1"/>
  <c r="AY131" i="5" s="1" a="1"/>
  <c r="AY131" i="5" s="1"/>
  <c r="AY132" i="5" s="1" a="1"/>
  <c r="AY132" i="5" s="1"/>
  <c r="AY133" i="5" s="1" a="1"/>
  <c r="AY133" i="5" s="1"/>
  <c r="AY134" i="5" s="1" a="1"/>
  <c r="AY134" i="5" s="1"/>
  <c r="AY135" i="5" s="1" a="1"/>
  <c r="AY135" i="5" s="1"/>
  <c r="AY136" i="5" s="1" a="1"/>
  <c r="AY136"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BL6" i="5" l="1"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BL7" i="5" l="1"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BL8" i="5" l="1" a="1"/>
  <c r="BL8" i="5" s="1"/>
  <c r="I65"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BL9" i="5" l="1"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BL10" i="5" l="1" a="1"/>
  <c r="BL10" i="5" s="1"/>
  <c r="AF6" i="9"/>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BL11" i="5" l="1" a="1"/>
  <c r="BL11" i="5" s="1"/>
  <c r="AF7" i="9"/>
  <c r="AE7" i="9"/>
  <c r="AI7" i="9"/>
  <c r="AC7" i="9"/>
  <c r="BL12" i="5" l="1" a="1"/>
  <c r="BL12" i="5" s="1"/>
  <c r="AF8" i="9"/>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17" i="1"/>
  <c r="BH18" i="1"/>
  <c r="BH19" i="1"/>
  <c r="BH20" i="1"/>
  <c r="BH21" i="1"/>
  <c r="BH22"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BL13" i="5" a="1"/>
  <c r="BL13" i="5" s="1"/>
  <c r="AF9" i="9"/>
  <c r="J4" i="2"/>
  <c r="AE9" i="9"/>
  <c r="AI9" i="9"/>
  <c r="AC9" i="9"/>
  <c r="AC4" i="1"/>
  <c r="AB4" i="1"/>
  <c r="O7" i="1" l="1"/>
  <c r="BL14" i="5" a="1"/>
  <c r="BL14" i="5" s="1"/>
  <c r="AF10" i="9"/>
  <c r="AE10" i="9"/>
  <c r="AI10" i="9"/>
  <c r="AC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O8" i="1" l="1"/>
  <c r="BL15" i="5"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B68" i="6"/>
  <c r="M69" i="7"/>
  <c r="M68" i="7"/>
  <c r="M67" i="7"/>
  <c r="M66" i="7"/>
  <c r="M65" i="7"/>
  <c r="M64" i="7"/>
  <c r="M63" i="7"/>
  <c r="M62" i="7"/>
  <c r="M61" i="7"/>
  <c r="M60" i="7"/>
  <c r="M59" i="7"/>
  <c r="M58" i="7"/>
  <c r="M57" i="7"/>
  <c r="M56" i="7"/>
  <c r="CH12" i="8"/>
  <c r="CH11" i="8"/>
  <c r="CH10" i="8"/>
  <c r="CH9" i="8"/>
  <c r="CH8" i="8"/>
  <c r="CH7" i="8"/>
  <c r="CH6" i="8"/>
  <c r="CH5" i="8"/>
  <c r="S5" i="2"/>
  <c r="N5" i="2"/>
  <c r="DH4" i="5"/>
  <c r="B32" i="6"/>
  <c r="C4" i="2" s="1"/>
  <c r="F4" i="1" s="1"/>
  <c r="B45" i="6"/>
  <c r="B44" i="6"/>
  <c r="I4" i="1" s="1"/>
  <c r="B43"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7" i="6"/>
  <c r="A71" i="6"/>
  <c r="B81" i="6"/>
  <c r="C81" i="6"/>
  <c r="B82" i="6"/>
  <c r="C82" i="6"/>
  <c r="C83" i="6" s="1"/>
  <c r="C84" i="6" s="1"/>
  <c r="C85" i="6" s="1"/>
  <c r="C86" i="6" s="1"/>
  <c r="C87" i="6" s="1"/>
  <c r="B84" i="6"/>
  <c r="B85" i="6" s="1"/>
  <c r="B90"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O9" i="1" l="1"/>
  <c r="BJ4" i="1"/>
  <c r="AO4" i="1"/>
  <c r="BL16" i="5"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N7" i="2" s="1"/>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M6" i="2"/>
  <c r="J7" i="10"/>
  <c r="M27" i="12"/>
  <c r="B50" i="4"/>
  <c r="D5" i="12"/>
  <c r="F4" i="12"/>
  <c r="E4" i="12" s="1"/>
  <c r="O7" i="2"/>
  <c r="K22" i="12"/>
  <c r="K25" i="12"/>
  <c r="K33" i="12"/>
  <c r="J4" i="12"/>
  <c r="D67" i="4"/>
  <c r="A34" i="6"/>
  <c r="I36" i="4"/>
  <c r="I37" i="4"/>
  <c r="A35" i="6"/>
  <c r="I8" i="12"/>
  <c r="J7" i="12"/>
  <c r="F1" i="14"/>
  <c r="O10" i="1" l="1"/>
  <c r="BL17" i="5" a="1"/>
  <c r="BL17" i="5" s="1"/>
  <c r="AS5" i="5"/>
  <c r="H5" i="5"/>
  <c r="K5" i="5"/>
  <c r="CA76" i="8"/>
  <c r="CA71" i="8"/>
  <c r="CA72" i="8"/>
  <c r="CA69" i="8"/>
  <c r="CA66" i="8"/>
  <c r="CA73" i="8"/>
  <c r="CA65" i="8"/>
  <c r="CA74" i="8"/>
  <c r="CA75" i="8"/>
  <c r="CA77" i="8"/>
  <c r="AD5" i="8"/>
  <c r="AR5" i="8"/>
  <c r="BP5" i="5" a="1"/>
  <c r="BP5"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V4" i="2"/>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6" i="6"/>
  <c r="I38" i="4"/>
  <c r="CH18" i="8"/>
  <c r="CH19" i="8"/>
  <c r="J8" i="12"/>
  <c r="I9" i="12"/>
  <c r="O11" i="1" l="1"/>
  <c r="BP6" i="5" a="1"/>
  <c r="BP6" i="5" s="1"/>
  <c r="BP7" i="5" s="1" a="1"/>
  <c r="BP7" i="5" s="1"/>
  <c r="BP8" i="5" s="1" a="1"/>
  <c r="BP8" i="5" s="1"/>
  <c r="BP9" i="5" s="1" a="1"/>
  <c r="BP9" i="5" s="1"/>
  <c r="BP10" i="5" s="1" a="1"/>
  <c r="BP10" i="5" s="1"/>
  <c r="BP11" i="5" s="1" a="1"/>
  <c r="BP11" i="5" s="1"/>
  <c r="BP12" i="5" s="1" a="1"/>
  <c r="BP12" i="5" s="1"/>
  <c r="BP13" i="5" s="1" a="1"/>
  <c r="BP13" i="5" s="1"/>
  <c r="BP14" i="5" s="1" a="1"/>
  <c r="BP14" i="5" s="1"/>
  <c r="BP15" i="5" s="1" a="1"/>
  <c r="BP15" i="5" s="1"/>
  <c r="BP16" i="5" s="1" a="1"/>
  <c r="BP16" i="5" s="1"/>
  <c r="BP17" i="5" s="1" a="1"/>
  <c r="BP17" i="5" s="1"/>
  <c r="BP18" i="5" s="1" a="1"/>
  <c r="BP18" i="5" s="1"/>
  <c r="BP19" i="5" s="1" a="1"/>
  <c r="BP19" i="5" s="1"/>
  <c r="BP20" i="5" s="1" a="1"/>
  <c r="BP20" i="5" s="1"/>
  <c r="BP21" i="5" s="1" a="1"/>
  <c r="BP21" i="5" s="1"/>
  <c r="BP22" i="5" s="1" a="1"/>
  <c r="BP22" i="5" s="1"/>
  <c r="BP23" i="5" s="1" a="1"/>
  <c r="BP23" i="5" s="1"/>
  <c r="BP24" i="5" s="1" a="1"/>
  <c r="BP24" i="5" s="1"/>
  <c r="BP25" i="5" s="1" a="1"/>
  <c r="BP25" i="5" s="1"/>
  <c r="BP26" i="5" s="1" a="1"/>
  <c r="BP26" i="5" s="1"/>
  <c r="BP27" i="5" s="1" a="1"/>
  <c r="BP27" i="5" s="1"/>
  <c r="BP28" i="5" s="1" a="1"/>
  <c r="BP28" i="5" s="1"/>
  <c r="BP29" i="5" s="1" a="1"/>
  <c r="BP29" i="5" s="1"/>
  <c r="BP30" i="5" s="1" a="1"/>
  <c r="BP30" i="5" s="1"/>
  <c r="BP31" i="5" s="1" a="1"/>
  <c r="BP31" i="5" s="1"/>
  <c r="BP32" i="5" s="1" a="1"/>
  <c r="BP32" i="5" s="1"/>
  <c r="BP33" i="5" s="1" a="1"/>
  <c r="BP33" i="5" s="1"/>
  <c r="BP34" i="5" s="1" a="1"/>
  <c r="BP34" i="5" s="1"/>
  <c r="BP35" i="5" s="1" a="1"/>
  <c r="BP35" i="5" s="1"/>
  <c r="BP36" i="5" s="1" a="1"/>
  <c r="BP36" i="5" s="1"/>
  <c r="BP37" i="5" s="1" a="1"/>
  <c r="BP37" i="5" s="1"/>
  <c r="BP38" i="5" s="1" a="1"/>
  <c r="BP38" i="5" s="1"/>
  <c r="BP39" i="5" s="1" a="1"/>
  <c r="BP39" i="5" s="1"/>
  <c r="BP40" i="5" s="1" a="1"/>
  <c r="BP40" i="5" s="1"/>
  <c r="BP41" i="5" s="1" a="1"/>
  <c r="BP41" i="5" s="1"/>
  <c r="BP42" i="5" s="1" a="1"/>
  <c r="BP42" i="5" s="1"/>
  <c r="BP43" i="5" s="1" a="1"/>
  <c r="BP43" i="5" s="1"/>
  <c r="BP44" i="5" s="1" a="1"/>
  <c r="BP44" i="5" s="1"/>
  <c r="BP45" i="5" s="1" a="1"/>
  <c r="BP45" i="5" s="1"/>
  <c r="BP46" i="5" s="1" a="1"/>
  <c r="BP46" i="5" s="1"/>
  <c r="BP47" i="5" s="1" a="1"/>
  <c r="BP47" i="5" s="1"/>
  <c r="BP48" i="5" s="1" a="1"/>
  <c r="BP48" i="5" s="1"/>
  <c r="BP49" i="5" s="1" a="1"/>
  <c r="BP49" i="5" s="1"/>
  <c r="BP50" i="5" s="1" a="1"/>
  <c r="BP50" i="5" s="1"/>
  <c r="BP51" i="5" s="1" a="1"/>
  <c r="BP51" i="5" s="1"/>
  <c r="BP52" i="5" s="1" a="1"/>
  <c r="BP52" i="5" s="1"/>
  <c r="BP53" i="5" s="1" a="1"/>
  <c r="BP53" i="5" s="1"/>
  <c r="BP54" i="5" s="1" a="1"/>
  <c r="BP54" i="5" s="1"/>
  <c r="BP55" i="5" s="1" a="1"/>
  <c r="BP55" i="5" s="1"/>
  <c r="BP56" i="5" s="1" a="1"/>
  <c r="BP56" i="5" s="1"/>
  <c r="BP57" i="5" s="1" a="1"/>
  <c r="BP57" i="5" s="1"/>
  <c r="BP58" i="5" s="1" a="1"/>
  <c r="BP58" i="5" s="1"/>
  <c r="BP59" i="5" s="1" a="1"/>
  <c r="BP59" i="5" s="1"/>
  <c r="BP60" i="5" s="1" a="1"/>
  <c r="BP60" i="5" s="1"/>
  <c r="BP61" i="5" s="1" a="1"/>
  <c r="BP61" i="5" s="1"/>
  <c r="BP62" i="5" s="1" a="1"/>
  <c r="BP62" i="5" s="1"/>
  <c r="BP63" i="5" s="1" a="1"/>
  <c r="BP63" i="5" s="1"/>
  <c r="BP64" i="5" s="1" a="1"/>
  <c r="BP64" i="5" s="1"/>
  <c r="BP65" i="5" s="1" a="1"/>
  <c r="BP65" i="5" s="1"/>
  <c r="BP66" i="5" s="1" a="1"/>
  <c r="BP66" i="5" s="1"/>
  <c r="BP67" i="5" s="1" a="1"/>
  <c r="BP67" i="5" s="1"/>
  <c r="BP68" i="5" s="1" a="1"/>
  <c r="BP68" i="5" s="1"/>
  <c r="BP69" i="5" s="1" a="1"/>
  <c r="BP69" i="5" s="1"/>
  <c r="BP70" i="5" s="1" a="1"/>
  <c r="BP70" i="5" s="1"/>
  <c r="BP71" i="5" s="1" a="1"/>
  <c r="BP71" i="5" s="1"/>
  <c r="BP72" i="5" s="1" a="1"/>
  <c r="BP72" i="5" s="1"/>
  <c r="BP73" i="5" s="1" a="1"/>
  <c r="BP73" i="5" s="1"/>
  <c r="BP74" i="5" s="1" a="1"/>
  <c r="BP74" i="5" s="1"/>
  <c r="BP75" i="5" s="1" a="1"/>
  <c r="BP75" i="5" s="1"/>
  <c r="BP76" i="5" s="1" a="1"/>
  <c r="BP76" i="5" s="1"/>
  <c r="BP77" i="5" s="1" a="1"/>
  <c r="BP77" i="5" s="1"/>
  <c r="BP78" i="5" s="1" a="1"/>
  <c r="BP78" i="5" s="1"/>
  <c r="BP79" i="5" s="1" a="1"/>
  <c r="BP79" i="5" s="1"/>
  <c r="BP80" i="5" s="1" a="1"/>
  <c r="BP80" i="5" s="1"/>
  <c r="BP81" i="5" s="1" a="1"/>
  <c r="BP81" i="5" s="1"/>
  <c r="BP82" i="5" s="1" a="1"/>
  <c r="BP82" i="5" s="1"/>
  <c r="BP83" i="5" s="1" a="1"/>
  <c r="BP83" i="5" s="1"/>
  <c r="BP84" i="5" s="1" a="1"/>
  <c r="BP84" i="5" s="1"/>
  <c r="BP85" i="5" s="1" a="1"/>
  <c r="BP85" i="5" s="1"/>
  <c r="BP86" i="5" s="1" a="1"/>
  <c r="BP86" i="5" s="1"/>
  <c r="BP87" i="5" s="1" a="1"/>
  <c r="BP87" i="5" s="1"/>
  <c r="BP88" i="5" s="1" a="1"/>
  <c r="BP88" i="5" s="1"/>
  <c r="BP89" i="5" s="1" a="1"/>
  <c r="BP89" i="5" s="1"/>
  <c r="BP90" i="5" s="1" a="1"/>
  <c r="BP90" i="5" s="1"/>
  <c r="BP91" i="5" s="1" a="1"/>
  <c r="BP91" i="5" s="1"/>
  <c r="BP92" i="5" s="1" a="1"/>
  <c r="BP92" i="5" s="1"/>
  <c r="BP93" i="5" s="1" a="1"/>
  <c r="BP93" i="5" s="1"/>
  <c r="BP94" i="5" s="1" a="1"/>
  <c r="BP94" i="5" s="1"/>
  <c r="BP95" i="5" s="1" a="1"/>
  <c r="BP95" i="5" s="1"/>
  <c r="BP96" i="5" s="1" a="1"/>
  <c r="BP96" i="5" s="1"/>
  <c r="BP97" i="5" s="1" a="1"/>
  <c r="BP97" i="5" s="1"/>
  <c r="BP98" i="5" s="1" a="1"/>
  <c r="BP98" i="5" s="1"/>
  <c r="BP99" i="5" s="1" a="1"/>
  <c r="BP99" i="5" s="1"/>
  <c r="BP100" i="5" s="1" a="1"/>
  <c r="BP100" i="5" s="1"/>
  <c r="BP101" i="5" s="1" a="1"/>
  <c r="BP101" i="5" s="1"/>
  <c r="BP102" i="5" s="1" a="1"/>
  <c r="BP102" i="5" s="1"/>
  <c r="BP103" i="5" s="1" a="1"/>
  <c r="BP103" i="5" s="1"/>
  <c r="BP104" i="5" s="1" a="1"/>
  <c r="BP104" i="5" s="1"/>
  <c r="BP105" i="5" s="1" a="1"/>
  <c r="BP105" i="5" s="1"/>
  <c r="BP106" i="5" s="1" a="1"/>
  <c r="BP106" i="5" s="1"/>
  <c r="BP107" i="5" s="1" a="1"/>
  <c r="BP107" i="5" s="1"/>
  <c r="BP108" i="5" s="1" a="1"/>
  <c r="BP108" i="5" s="1"/>
  <c r="BP109" i="5" s="1" a="1"/>
  <c r="BP109" i="5" s="1"/>
  <c r="BP110" i="5" s="1" a="1"/>
  <c r="BP110" i="5" s="1"/>
  <c r="BP111" i="5" s="1" a="1"/>
  <c r="BP111" i="5" s="1"/>
  <c r="BP112" i="5" s="1" a="1"/>
  <c r="BP112" i="5" s="1"/>
  <c r="BP113" i="5" s="1" a="1"/>
  <c r="BP113" i="5" s="1"/>
  <c r="BP114" i="5" s="1" a="1"/>
  <c r="BP114" i="5" s="1"/>
  <c r="BP115" i="5" s="1" a="1"/>
  <c r="BP115" i="5" s="1"/>
  <c r="BP116" i="5" s="1" a="1"/>
  <c r="BP116" i="5" s="1"/>
  <c r="BP117" i="5" s="1" a="1"/>
  <c r="BP117" i="5" s="1"/>
  <c r="BP118" i="5" s="1" a="1"/>
  <c r="BP118" i="5" s="1"/>
  <c r="BP119" i="5" s="1" a="1"/>
  <c r="BP119" i="5" s="1"/>
  <c r="BP120" i="5" s="1" a="1"/>
  <c r="BP120" i="5" s="1"/>
  <c r="BP121" i="5" s="1" a="1"/>
  <c r="BP121" i="5" s="1"/>
  <c r="BP122" i="5" s="1" a="1"/>
  <c r="BP122" i="5" s="1"/>
  <c r="BP123" i="5" s="1" a="1"/>
  <c r="BP123" i="5" s="1"/>
  <c r="BP124" i="5" s="1" a="1"/>
  <c r="BP124" i="5" s="1"/>
  <c r="BP125" i="5" s="1" a="1"/>
  <c r="BP125" i="5" s="1"/>
  <c r="BP126" i="5" s="1" a="1"/>
  <c r="BP126" i="5" s="1"/>
  <c r="BP127" i="5" s="1" a="1"/>
  <c r="BP127" i="5" s="1"/>
  <c r="BP128" i="5" s="1" a="1"/>
  <c r="BP128" i="5" s="1"/>
  <c r="BP129" i="5" s="1" a="1"/>
  <c r="BP129" i="5" s="1"/>
  <c r="BP130" i="5" s="1" a="1"/>
  <c r="BP130" i="5" s="1"/>
  <c r="BP131" i="5" s="1" a="1"/>
  <c r="BP131" i="5" s="1"/>
  <c r="BP132" i="5" s="1" a="1"/>
  <c r="BP132" i="5" s="1"/>
  <c r="BP133" i="5" s="1" a="1"/>
  <c r="BP133" i="5" s="1"/>
  <c r="BP134" i="5" s="1" a="1"/>
  <c r="BP134" i="5" s="1"/>
  <c r="BP135" i="5" s="1" a="1"/>
  <c r="BP135" i="5" s="1"/>
  <c r="BP136" i="5" s="1" a="1"/>
  <c r="BP136" i="5" s="1"/>
  <c r="BL18" i="5"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V5" i="2"/>
  <c r="E5" i="7"/>
  <c r="C5" i="10"/>
  <c r="G5" i="7"/>
  <c r="E5" i="10"/>
  <c r="F5" i="10"/>
  <c r="H5" i="7"/>
  <c r="F4" i="5"/>
  <c r="J5" i="7"/>
  <c r="H5" i="10"/>
  <c r="F9" i="8"/>
  <c r="N8" i="2"/>
  <c r="J9" i="8"/>
  <c r="E9" i="8"/>
  <c r="CB8" i="8"/>
  <c r="AF14" i="9"/>
  <c r="AB5" i="1"/>
  <c r="DI5" i="5"/>
  <c r="AE14" i="9"/>
  <c r="AI14" i="9"/>
  <c r="AC14" i="9"/>
  <c r="S7" i="2"/>
  <c r="P8" i="2"/>
  <c r="R8" i="2"/>
  <c r="Q7" i="2"/>
  <c r="O9" i="2"/>
  <c r="J9" i="10"/>
  <c r="M8" i="2"/>
  <c r="F6" i="12"/>
  <c r="E6" i="12" s="1"/>
  <c r="D7" i="12"/>
  <c r="DB5" i="5"/>
  <c r="DE5" i="5"/>
  <c r="DF5" i="5"/>
  <c r="DC5" i="5"/>
  <c r="A37" i="6"/>
  <c r="CH20" i="8"/>
  <c r="CH21" i="8"/>
  <c r="I39" i="4"/>
  <c r="I10" i="12"/>
  <c r="J9" i="12"/>
  <c r="E18" i="4"/>
  <c r="O12" i="1" l="1"/>
  <c r="BL19" i="5" a="1"/>
  <c r="BL19" i="5" s="1"/>
  <c r="AK6" i="11"/>
  <c r="AK7" i="11" s="1"/>
  <c r="AH6" i="11"/>
  <c r="AH7" i="11" s="1"/>
  <c r="AS7" i="5"/>
  <c r="CA79" i="8"/>
  <c r="O4" i="7"/>
  <c r="DC6" i="5"/>
  <c r="AJ7" i="1"/>
  <c r="AM6" i="1"/>
  <c r="DE6" i="5"/>
  <c r="AJ6" i="1"/>
  <c r="DB6" i="5"/>
  <c r="F5" i="5"/>
  <c r="BD5" i="8" s="1"/>
  <c r="BP5" i="8"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A4" i="10"/>
  <c r="AA4" i="10" s="1"/>
  <c r="BD4" i="8"/>
  <c r="AJ4" i="5"/>
  <c r="A4" i="11"/>
  <c r="N4" i="11" s="1"/>
  <c r="BE4" i="8"/>
  <c r="BN4" i="8" s="1"/>
  <c r="AI4" i="5"/>
  <c r="B4" i="9"/>
  <c r="W4" i="9" s="1"/>
  <c r="AW4" i="5"/>
  <c r="AV4" i="5"/>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DG5" i="5" s="1" a="1"/>
  <c r="DG5" i="5" s="1"/>
  <c r="AB6" i="1"/>
  <c r="DI6" i="5"/>
  <c r="AE15" i="9"/>
  <c r="AI15" i="9"/>
  <c r="AC15" i="9"/>
  <c r="B6" i="5"/>
  <c r="S8" i="2"/>
  <c r="P9" i="2"/>
  <c r="R9" i="2"/>
  <c r="Q8" i="2"/>
  <c r="M9" i="2"/>
  <c r="J10" i="10"/>
  <c r="F7" i="12"/>
  <c r="E7" i="12" s="1"/>
  <c r="D8" i="12"/>
  <c r="O10" i="2"/>
  <c r="J10" i="12"/>
  <c r="I11" i="12"/>
  <c r="O13" i="1" l="1"/>
  <c r="BL20" i="5" a="1"/>
  <c r="BL20" i="5" s="1"/>
  <c r="AM4" i="5"/>
  <c r="BP4" i="8"/>
  <c r="BO4" i="8"/>
  <c r="BL4" i="8"/>
  <c r="BM4" i="8"/>
  <c r="BJ4" i="8"/>
  <c r="BK4" i="8"/>
  <c r="BH4" i="8"/>
  <c r="BI4" i="8"/>
  <c r="BF4" i="8"/>
  <c r="BG4" i="8"/>
  <c r="AO4" i="5"/>
  <c r="AP4" i="5"/>
  <c r="BO5" i="8"/>
  <c r="BS4" i="8"/>
  <c r="BY4" i="8" s="1"/>
  <c r="AC4" i="10"/>
  <c r="X4" i="10" s="1"/>
  <c r="AN4" i="5"/>
  <c r="AR4" i="5" s="1"/>
  <c r="AS8" i="5"/>
  <c r="CA80" i="8"/>
  <c r="AK8" i="11"/>
  <c r="AH8" i="11"/>
  <c r="B5" i="7"/>
  <c r="AE5" i="7" s="1"/>
  <c r="W5" i="8"/>
  <c r="AI5" i="5"/>
  <c r="AV5" i="5"/>
  <c r="B5" i="9"/>
  <c r="W5" i="9" s="1"/>
  <c r="AB5" i="8"/>
  <c r="BM5" i="8" s="1"/>
  <c r="A5" i="10"/>
  <c r="AA5" i="10" s="1"/>
  <c r="A5" i="11"/>
  <c r="N5" i="11" s="1"/>
  <c r="BT5" i="5"/>
  <c r="CF5" i="8"/>
  <c r="AM8" i="1"/>
  <c r="AJ8" i="1"/>
  <c r="AW5" i="5"/>
  <c r="DA5" i="8"/>
  <c r="DB5" i="8" s="1"/>
  <c r="AJ5" i="5"/>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CJ4" i="8" s="1"/>
  <c r="CN4" i="8" s="1"/>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F16" i="9"/>
  <c r="F6" i="5"/>
  <c r="V6" i="2"/>
  <c r="CZ7" i="5"/>
  <c r="J6" i="2"/>
  <c r="AB7" i="1"/>
  <c r="DI7" i="5"/>
  <c r="DA7" i="5"/>
  <c r="AC6" i="1"/>
  <c r="DA6" i="5"/>
  <c r="DG6" i="5" s="1" a="1"/>
  <c r="DG6" i="5" s="1"/>
  <c r="AE16" i="9"/>
  <c r="AI16" i="9"/>
  <c r="AC16" i="9"/>
  <c r="B7" i="5"/>
  <c r="BS5" i="8"/>
  <c r="CO4" i="8"/>
  <c r="CP4" i="8" s="1"/>
  <c r="S9" i="2"/>
  <c r="P10" i="2"/>
  <c r="N10" i="2"/>
  <c r="R10" i="2"/>
  <c r="Q9" i="2"/>
  <c r="J11" i="10"/>
  <c r="D9" i="12"/>
  <c r="F8" i="12"/>
  <c r="E8" i="12" s="1"/>
  <c r="O11" i="2"/>
  <c r="M10" i="2"/>
  <c r="M4" i="1"/>
  <c r="F4" i="11" s="1"/>
  <c r="I12" i="12"/>
  <c r="J11" i="12"/>
  <c r="AG5" i="7" l="1"/>
  <c r="AF5" i="7"/>
  <c r="AG4" i="7"/>
  <c r="AI4" i="7" s="1"/>
  <c r="Z4" i="8" s="1"/>
  <c r="B4" i="8" s="1"/>
  <c r="D4" i="2" s="1"/>
  <c r="O14" i="1"/>
  <c r="BL21" i="5" a="1"/>
  <c r="BL21" i="5" s="1"/>
  <c r="BZ4" i="8"/>
  <c r="CQ4" i="8" s="1"/>
  <c r="CR4" i="8" s="1"/>
  <c r="BK5" i="8"/>
  <c r="BL5" i="8"/>
  <c r="AP5" i="5"/>
  <c r="BI5" i="8"/>
  <c r="BJ5" i="8"/>
  <c r="BG5" i="8"/>
  <c r="BH5" i="8"/>
  <c r="BF5" i="8"/>
  <c r="AC5" i="10"/>
  <c r="X5" i="10" s="1"/>
  <c r="AO5" i="5"/>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CL4" i="8" s="1"/>
  <c r="AQ4" i="5"/>
  <c r="O4" i="8"/>
  <c r="BT5" i="8"/>
  <c r="CJ5" i="8" s="1"/>
  <c r="CN5" i="8" s="1"/>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F13" i="8" s="1"/>
  <c r="F14" i="8" s="1"/>
  <c r="F15" i="8" s="1"/>
  <c r="DA6" i="8"/>
  <c r="DB6" i="8" s="1"/>
  <c r="J12" i="8"/>
  <c r="CF6" i="8"/>
  <c r="E12" i="8"/>
  <c r="CB11" i="8"/>
  <c r="BR6" i="8"/>
  <c r="BX6" i="8" s="1"/>
  <c r="CO6" i="8" s="1"/>
  <c r="CP6" i="8" s="1"/>
  <c r="BE6" i="8"/>
  <c r="BN6" i="8" s="1"/>
  <c r="AW6" i="5"/>
  <c r="BD6" i="8"/>
  <c r="BP6" i="8" s="1"/>
  <c r="AF17" i="9"/>
  <c r="A6" i="10"/>
  <c r="AA6" i="10" s="1"/>
  <c r="AV6" i="5"/>
  <c r="BT6" i="5"/>
  <c r="B6" i="7"/>
  <c r="Q6" i="7" s="1"/>
  <c r="AI6" i="5"/>
  <c r="AJ6" i="5"/>
  <c r="B6" i="9"/>
  <c r="W6" i="9" s="1"/>
  <c r="J7" i="2"/>
  <c r="V7" i="2"/>
  <c r="AB6" i="8"/>
  <c r="BM6" i="8" s="1"/>
  <c r="A6" i="11"/>
  <c r="N6" i="11" s="1"/>
  <c r="CZ8" i="5"/>
  <c r="E6" i="1"/>
  <c r="W6" i="8"/>
  <c r="C7" i="5"/>
  <c r="F7" i="5" s="1"/>
  <c r="V8" i="2"/>
  <c r="AC7" i="1"/>
  <c r="DI8" i="5"/>
  <c r="AB8" i="1"/>
  <c r="AE17" i="9"/>
  <c r="AI17" i="9"/>
  <c r="AC17" i="9"/>
  <c r="AI5" i="7"/>
  <c r="B8" i="5"/>
  <c r="BY5" i="8"/>
  <c r="BZ5" i="8"/>
  <c r="S10" i="2"/>
  <c r="P11" i="2"/>
  <c r="N11" i="2"/>
  <c r="R11" i="2"/>
  <c r="Q10" i="2"/>
  <c r="D10" i="12"/>
  <c r="F9" i="12"/>
  <c r="E9" i="12" s="1"/>
  <c r="J12" i="10"/>
  <c r="M11" i="2"/>
  <c r="O12" i="2"/>
  <c r="I13" i="12"/>
  <c r="J12" i="12"/>
  <c r="O15" i="1" l="1"/>
  <c r="BL22" i="5" a="1"/>
  <c r="BL22" i="5" s="1"/>
  <c r="AP6" i="5"/>
  <c r="D7" i="9"/>
  <c r="BO6" i="8"/>
  <c r="BK6" i="8"/>
  <c r="BL6" i="8"/>
  <c r="BI6" i="8"/>
  <c r="BJ6" i="8"/>
  <c r="BG6" i="8"/>
  <c r="BH6" i="8"/>
  <c r="BF6" i="8"/>
  <c r="AC6" i="10"/>
  <c r="X6" i="10" s="1"/>
  <c r="AO6" i="5"/>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O5" i="8"/>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L5" i="8"/>
  <c r="CD6" i="8"/>
  <c r="CT6" i="8" s="1"/>
  <c r="DA7" i="8"/>
  <c r="DB7" i="8" s="1"/>
  <c r="CY4" i="8"/>
  <c r="G4" i="1" s="1"/>
  <c r="M4" i="8" s="1"/>
  <c r="J13" i="8"/>
  <c r="CF7" i="8"/>
  <c r="CB12" i="8"/>
  <c r="BR7" i="8"/>
  <c r="BX7" i="8" s="1"/>
  <c r="BS6" i="8"/>
  <c r="BY6" i="8" s="1"/>
  <c r="N6" i="7"/>
  <c r="BD7" i="8"/>
  <c r="BP7" i="8" s="1"/>
  <c r="BE7" i="8"/>
  <c r="BN7" i="8" s="1"/>
  <c r="AF18" i="9"/>
  <c r="Y5" i="11"/>
  <c r="AH5" i="1" s="1"/>
  <c r="BV6" i="8"/>
  <c r="AE6" i="7"/>
  <c r="AB5" i="11"/>
  <c r="P5" i="8" s="1"/>
  <c r="BW6" i="8"/>
  <c r="CM6" i="8" s="1"/>
  <c r="BU6" i="8"/>
  <c r="BT6" i="8"/>
  <c r="CC6" i="8"/>
  <c r="CS6" i="8" s="1"/>
  <c r="DA8" i="5"/>
  <c r="DG8" i="5" s="1" a="1"/>
  <c r="DG8" i="5" s="1"/>
  <c r="AD5" i="11"/>
  <c r="AI5" i="1" s="1"/>
  <c r="AC5" i="11"/>
  <c r="T5" i="8" s="1"/>
  <c r="Z5" i="11"/>
  <c r="AW7" i="5"/>
  <c r="E7" i="1"/>
  <c r="A7" i="11"/>
  <c r="AC6" i="11" s="1"/>
  <c r="T6" i="8" s="1"/>
  <c r="B7" i="7"/>
  <c r="Q7" i="7" s="1"/>
  <c r="BT7" i="5"/>
  <c r="B7" i="9"/>
  <c r="W7" i="9" s="1"/>
  <c r="W7" i="8"/>
  <c r="AV7" i="5"/>
  <c r="AJ7" i="5"/>
  <c r="AI7" i="5"/>
  <c r="AB7" i="8"/>
  <c r="BM7" i="8" s="1"/>
  <c r="A7" i="10"/>
  <c r="AA7" i="10" s="1"/>
  <c r="C8" i="5"/>
  <c r="F8" i="5" s="1"/>
  <c r="J8" i="2"/>
  <c r="AA5" i="11"/>
  <c r="AK5" i="1" s="1"/>
  <c r="CZ9" i="5"/>
  <c r="AB9" i="1"/>
  <c r="DI9" i="5"/>
  <c r="V9" i="2"/>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E4" i="2"/>
  <c r="L4" i="2" s="1"/>
  <c r="AB4" i="7"/>
  <c r="CQ5" i="8"/>
  <c r="CR5" i="8" s="1"/>
  <c r="S11" i="2"/>
  <c r="P12" i="2"/>
  <c r="N12" i="2"/>
  <c r="R12" i="2"/>
  <c r="Q11" i="2"/>
  <c r="M12" i="2"/>
  <c r="O13" i="2"/>
  <c r="D11" i="12"/>
  <c r="F10" i="12"/>
  <c r="E10" i="12" s="1"/>
  <c r="J13" i="10"/>
  <c r="I14" i="12"/>
  <c r="J13" i="12"/>
  <c r="AG6" i="7" l="1"/>
  <c r="AF6" i="7"/>
  <c r="O16" i="1"/>
  <c r="BL23" i="5" a="1"/>
  <c r="BL23" i="5" s="1"/>
  <c r="BO7" i="8"/>
  <c r="BK7" i="8"/>
  <c r="BL7" i="8"/>
  <c r="BI7" i="8"/>
  <c r="BJ7" i="8"/>
  <c r="BG7" i="8"/>
  <c r="BH7" i="8"/>
  <c r="BF7" i="8"/>
  <c r="AP7" i="5"/>
  <c r="AC7" i="10"/>
  <c r="X7" i="10" s="1"/>
  <c r="AO7" i="5"/>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N7" i="7"/>
  <c r="AR6" i="5"/>
  <c r="BD8" i="8"/>
  <c r="BP8" i="8" s="1"/>
  <c r="BE8" i="8"/>
  <c r="BN8" i="8" s="1"/>
  <c r="AF19" i="9"/>
  <c r="B4" i="14"/>
  <c r="AD6" i="11"/>
  <c r="AI6" i="1" s="1"/>
  <c r="AQ6" i="5"/>
  <c r="AI6" i="7"/>
  <c r="CK6" i="8"/>
  <c r="BV7" i="8"/>
  <c r="O6" i="8"/>
  <c r="BT7" i="8"/>
  <c r="CC7" i="8"/>
  <c r="CS7" i="8" s="1"/>
  <c r="Z6" i="11"/>
  <c r="AB6" i="11"/>
  <c r="P6" i="8" s="1"/>
  <c r="BU7" i="8"/>
  <c r="Y6" i="11"/>
  <c r="AH6" i="1" s="1"/>
  <c r="BW7" i="8"/>
  <c r="CM7" i="8" s="1"/>
  <c r="AA6" i="11"/>
  <c r="AK6" i="1" s="1"/>
  <c r="N7" i="11"/>
  <c r="AW8" i="5"/>
  <c r="A8" i="11"/>
  <c r="N8" i="11" s="1"/>
  <c r="AV8" i="5"/>
  <c r="A8" i="10"/>
  <c r="AA8" i="10" s="1"/>
  <c r="B8" i="7"/>
  <c r="Q8" i="7" s="1"/>
  <c r="AJ8" i="5"/>
  <c r="AI8" i="5"/>
  <c r="B8" i="9"/>
  <c r="W8" i="9" s="1"/>
  <c r="W8" i="8"/>
  <c r="E8" i="1"/>
  <c r="AB8" i="8"/>
  <c r="BM8" i="8" s="1"/>
  <c r="BT8" i="5"/>
  <c r="J9" i="2"/>
  <c r="C9" i="5"/>
  <c r="F9" i="5" s="1"/>
  <c r="AE7" i="7"/>
  <c r="CZ10" i="5"/>
  <c r="C10" i="5"/>
  <c r="AC9" i="1"/>
  <c r="DA9" i="5"/>
  <c r="DG9" i="5" s="1" a="1"/>
  <c r="DG9" i="5" s="1"/>
  <c r="AB10" i="1"/>
  <c r="DI10" i="5"/>
  <c r="AE19" i="9"/>
  <c r="AI19" i="9"/>
  <c r="AC81" i="9"/>
  <c r="CO7" i="8"/>
  <c r="CP7" i="8" s="1"/>
  <c r="S12" i="2"/>
  <c r="P13" i="2"/>
  <c r="N13" i="2"/>
  <c r="R13" i="2"/>
  <c r="Q12" i="2"/>
  <c r="D12" i="12"/>
  <c r="F11" i="12"/>
  <c r="E11" i="12" s="1"/>
  <c r="O14" i="2"/>
  <c r="M13" i="2"/>
  <c r="J14" i="10"/>
  <c r="I15" i="12"/>
  <c r="J14" i="12"/>
  <c r="AG7" i="7" l="1"/>
  <c r="AF7" i="7"/>
  <c r="O17" i="1"/>
  <c r="BL24" i="5" a="1"/>
  <c r="BL24" i="5" s="1"/>
  <c r="BO8" i="8"/>
  <c r="BK8" i="8"/>
  <c r="BL8" i="8"/>
  <c r="BI8" i="8"/>
  <c r="BJ8" i="8"/>
  <c r="BG8" i="8"/>
  <c r="BH8" i="8"/>
  <c r="BF8" i="8"/>
  <c r="AP8" i="5"/>
  <c r="AC8" i="10"/>
  <c r="X8" i="10" s="1"/>
  <c r="AO8" i="5"/>
  <c r="AN8" i="5"/>
  <c r="AM8" i="5"/>
  <c r="Z4" i="2"/>
  <c r="Z5" i="8" s="1"/>
  <c r="B5" i="8" s="1"/>
  <c r="D5" i="2" s="1"/>
  <c r="AS12" i="5"/>
  <c r="E15" i="8"/>
  <c r="E16" i="8" s="1"/>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W10" i="8"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F16" i="8"/>
  <c r="F17" i="8" s="1"/>
  <c r="F18" i="8" s="1"/>
  <c r="F19" i="8" s="1"/>
  <c r="F20" i="8" s="1"/>
  <c r="F21" i="8" s="1"/>
  <c r="F22" i="8" s="1"/>
  <c r="F23" i="8" s="1"/>
  <c r="F24" i="8" s="1"/>
  <c r="F25" i="8" s="1"/>
  <c r="F26" i="8" s="1"/>
  <c r="F27" i="8" s="1"/>
  <c r="F28" i="8" s="1"/>
  <c r="F29" i="8" s="1"/>
  <c r="F30" i="8" s="1"/>
  <c r="F31" i="8" s="1"/>
  <c r="F32" i="8" s="1"/>
  <c r="F33" i="8" s="1"/>
  <c r="F34" i="8" s="1"/>
  <c r="F35" i="8" s="1"/>
  <c r="F36" i="8" s="1"/>
  <c r="F37" i="8" s="1"/>
  <c r="F38" i="8" s="1"/>
  <c r="F39" i="8" s="1"/>
  <c r="F40" i="8" s="1"/>
  <c r="F41" i="8" s="1"/>
  <c r="F42" i="8" s="1"/>
  <c r="F43" i="8" s="1"/>
  <c r="F44" i="8" s="1"/>
  <c r="F45" i="8" s="1"/>
  <c r="F46" i="8" s="1"/>
  <c r="F47" i="8" s="1"/>
  <c r="F48" i="8" s="1"/>
  <c r="F49" i="8" s="1"/>
  <c r="F50" i="8" s="1"/>
  <c r="F51" i="8" s="1"/>
  <c r="F52" i="8" s="1"/>
  <c r="F53" i="8" s="1"/>
  <c r="F54" i="8" s="1"/>
  <c r="F55" i="8" s="1"/>
  <c r="F56" i="8" s="1"/>
  <c r="F57" i="8" s="1"/>
  <c r="F58" i="8" s="1"/>
  <c r="F59" i="8" s="1"/>
  <c r="F60" i="8" s="1"/>
  <c r="F61" i="8" s="1"/>
  <c r="F62" i="8" s="1"/>
  <c r="F63" i="8" s="1"/>
  <c r="F64" i="8" s="1"/>
  <c r="F65" i="8" s="1"/>
  <c r="F66" i="8" s="1"/>
  <c r="F67" i="8" s="1"/>
  <c r="F68" i="8" s="1"/>
  <c r="F69" i="8" s="1"/>
  <c r="F70" i="8" s="1"/>
  <c r="F71" i="8" s="1"/>
  <c r="F72" i="8" s="1"/>
  <c r="F73" i="8" s="1"/>
  <c r="F74" i="8" s="1"/>
  <c r="F75" i="8" s="1"/>
  <c r="D9" i="9"/>
  <c r="CU7" i="8"/>
  <c r="BY7" i="8"/>
  <c r="CQ7" i="8" s="1"/>
  <c r="CR7" i="8" s="1"/>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F20" i="9"/>
  <c r="AI7" i="7"/>
  <c r="AR7" i="5"/>
  <c r="CC8" i="8"/>
  <c r="CS8" i="8" s="1"/>
  <c r="CK7" i="8"/>
  <c r="BV8" i="8"/>
  <c r="AC7" i="11"/>
  <c r="T7" i="8" s="1"/>
  <c r="AE8" i="7"/>
  <c r="BT8" i="8"/>
  <c r="AA7" i="11"/>
  <c r="AK7" i="1" s="1"/>
  <c r="Z7" i="11"/>
  <c r="AQ7" i="5"/>
  <c r="BU8" i="8"/>
  <c r="BW8" i="8"/>
  <c r="CM8" i="8" s="1"/>
  <c r="AB7" i="11"/>
  <c r="P7" i="8" s="1"/>
  <c r="V10" i="2"/>
  <c r="J10" i="2"/>
  <c r="AW9" i="5"/>
  <c r="W9" i="8"/>
  <c r="B9" i="7"/>
  <c r="AJ9" i="5"/>
  <c r="AI9" i="5"/>
  <c r="B9" i="9"/>
  <c r="W9" i="9" s="1"/>
  <c r="AB9" i="8"/>
  <c r="BM9" i="8" s="1"/>
  <c r="A9" i="10"/>
  <c r="AA9" i="10" s="1"/>
  <c r="AV9" i="5"/>
  <c r="BT9" i="5"/>
  <c r="A9" i="11"/>
  <c r="E9" i="1"/>
  <c r="CZ11" i="5"/>
  <c r="AD7" i="11"/>
  <c r="AI7" i="1" s="1"/>
  <c r="Y7" i="11"/>
  <c r="AH7" i="1" s="1"/>
  <c r="C11" i="5"/>
  <c r="AC10" i="1"/>
  <c r="DA10" i="5"/>
  <c r="DG10" i="5" s="1" a="1"/>
  <c r="DG10" i="5" s="1"/>
  <c r="AB11" i="1"/>
  <c r="DI11" i="5"/>
  <c r="AE20" i="9"/>
  <c r="AI20" i="9"/>
  <c r="AC82" i="9"/>
  <c r="CO8" i="8"/>
  <c r="CP8" i="8" s="1"/>
  <c r="S13" i="2"/>
  <c r="P14" i="2"/>
  <c r="N14" i="2"/>
  <c r="R14" i="2"/>
  <c r="Q13" i="2"/>
  <c r="M14" i="2"/>
  <c r="O15" i="2"/>
  <c r="J15" i="10"/>
  <c r="D13" i="12"/>
  <c r="F12" i="12"/>
  <c r="E12" i="12" s="1"/>
  <c r="J15" i="12"/>
  <c r="I16" i="12"/>
  <c r="AG8" i="7" l="1"/>
  <c r="AF8" i="7"/>
  <c r="O18" i="1"/>
  <c r="BL25" i="5" a="1"/>
  <c r="BL25" i="5" s="1"/>
  <c r="BO9" i="8"/>
  <c r="BK9" i="8"/>
  <c r="BL9" i="8"/>
  <c r="BI9" i="8"/>
  <c r="BJ9" i="8"/>
  <c r="BG9" i="8"/>
  <c r="BH9" i="8"/>
  <c r="BF9" i="8"/>
  <c r="AP9" i="5"/>
  <c r="AC9" i="10"/>
  <c r="X9" i="10" s="1"/>
  <c r="AO9" i="5"/>
  <c r="AM9" i="5"/>
  <c r="AN9" i="5"/>
  <c r="Y4" i="2"/>
  <c r="AB5" i="7"/>
  <c r="AT5" i="8"/>
  <c r="E5" i="2"/>
  <c r="L5" i="2" s="1"/>
  <c r="H5" i="11"/>
  <c r="AS13" i="5"/>
  <c r="E17" i="8"/>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V10" i="5"/>
  <c r="AB10" i="8"/>
  <c r="BM10" i="8" s="1"/>
  <c r="BE10" i="8"/>
  <c r="BN10" i="8" s="1"/>
  <c r="B10" i="9"/>
  <c r="W10" i="9" s="1"/>
  <c r="AJ10" i="5"/>
  <c r="BD10" i="8"/>
  <c r="BP10" i="8" s="1"/>
  <c r="AI10" i="5"/>
  <c r="AW10" i="5"/>
  <c r="BR10" i="8"/>
  <c r="BW10" i="8" s="1"/>
  <c r="CM10" i="8" s="1"/>
  <c r="F11" i="5"/>
  <c r="DA11" i="8" s="1"/>
  <c r="DB11" i="8"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Y7" i="8" s="1"/>
  <c r="G7" i="1" s="1"/>
  <c r="M7" i="8" s="1"/>
  <c r="CJ8" i="8"/>
  <c r="CN8" i="8" s="1"/>
  <c r="O7" i="8"/>
  <c r="D10" i="9"/>
  <c r="CU8" i="8"/>
  <c r="CD9" i="8"/>
  <c r="CT9" i="8" s="1"/>
  <c r="BY8" i="8"/>
  <c r="O8" i="8" s="1"/>
  <c r="CB15" i="8"/>
  <c r="BS9" i="8"/>
  <c r="BY9" i="8" s="1"/>
  <c r="N9" i="7"/>
  <c r="AF21" i="9"/>
  <c r="AI8" i="7"/>
  <c r="CK8" i="8"/>
  <c r="AR8" i="5"/>
  <c r="AQ8" i="5"/>
  <c r="V11" i="2"/>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Q9" i="7"/>
  <c r="DI12" i="5"/>
  <c r="AB12" i="1"/>
  <c r="C12" i="5"/>
  <c r="AC11" i="1"/>
  <c r="DA11" i="5"/>
  <c r="DG11" i="5" s="1" a="1"/>
  <c r="DG11" i="5" s="1"/>
  <c r="AE21" i="9"/>
  <c r="AI21" i="9"/>
  <c r="AC83" i="9"/>
  <c r="L7" i="11"/>
  <c r="AS7" i="8"/>
  <c r="B5" i="14"/>
  <c r="S14" i="2"/>
  <c r="P15" i="2"/>
  <c r="N15" i="2"/>
  <c r="R15" i="2"/>
  <c r="Q14" i="2"/>
  <c r="O16" i="2"/>
  <c r="F13" i="12"/>
  <c r="E13" i="12" s="1"/>
  <c r="D14" i="12"/>
  <c r="J16" i="10"/>
  <c r="M15" i="2"/>
  <c r="J16" i="12"/>
  <c r="I17" i="12"/>
  <c r="J17" i="12" s="1"/>
  <c r="AG9" i="7" l="1"/>
  <c r="AF9" i="7"/>
  <c r="O19" i="1"/>
  <c r="BL26" i="5" a="1"/>
  <c r="BL26" i="5" s="1"/>
  <c r="BO10" i="8"/>
  <c r="BK10" i="8"/>
  <c r="BL10" i="8"/>
  <c r="AP10" i="5"/>
  <c r="BI10" i="8"/>
  <c r="BJ10" i="8"/>
  <c r="AN10" i="5"/>
  <c r="BG10" i="8"/>
  <c r="BH10" i="8"/>
  <c r="BF10" i="8"/>
  <c r="AC10" i="10"/>
  <c r="X10" i="10" s="1"/>
  <c r="AO10" i="5"/>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CC10" i="8"/>
  <c r="CS10" i="8" s="1"/>
  <c r="BT10" i="8"/>
  <c r="CJ10" i="8" s="1"/>
  <c r="CN10" i="8" s="1"/>
  <c r="BV10" i="8"/>
  <c r="B11" i="9"/>
  <c r="W11" i="9" s="1"/>
  <c r="AB11" i="8"/>
  <c r="BM11" i="8" s="1"/>
  <c r="B11" i="7"/>
  <c r="AE11" i="7" s="1"/>
  <c r="BE11" i="8"/>
  <c r="BN11" i="8" s="1"/>
  <c r="AV11" i="5"/>
  <c r="W11" i="8"/>
  <c r="A11" i="10"/>
  <c r="AA11" i="10" s="1"/>
  <c r="CF11" i="8"/>
  <c r="A11" i="11"/>
  <c r="N11" i="11" s="1"/>
  <c r="BT11" i="5"/>
  <c r="AI11" i="5"/>
  <c r="AW11" i="5"/>
  <c r="BD11" i="8"/>
  <c r="BP11" i="8" s="1"/>
  <c r="BR11" i="8"/>
  <c r="BT11" i="8" s="1"/>
  <c r="CJ11" i="8" s="1"/>
  <c r="CN11" i="8" s="1"/>
  <c r="AJ11" i="5"/>
  <c r="E11" i="1"/>
  <c r="F12" i="5"/>
  <c r="DA12" i="8" s="1"/>
  <c r="DB12" i="8"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D11" i="8"/>
  <c r="CT11" i="8" s="1"/>
  <c r="CQ8" i="8"/>
  <c r="CR8" i="8" s="1"/>
  <c r="CB16" i="8"/>
  <c r="O9" i="8"/>
  <c r="BZ9" i="8"/>
  <c r="CQ9" i="8" s="1"/>
  <c r="CR9" i="8" s="1"/>
  <c r="AF22" i="9"/>
  <c r="AI9" i="7"/>
  <c r="V12" i="2"/>
  <c r="AR9" i="5"/>
  <c r="J12" i="2"/>
  <c r="AQ9" i="5"/>
  <c r="CZ13" i="5"/>
  <c r="CK9" i="8"/>
  <c r="AB13" i="1"/>
  <c r="DI13" i="5"/>
  <c r="C13" i="5"/>
  <c r="AC12" i="1"/>
  <c r="DA12" i="5"/>
  <c r="DG12" i="5" s="1" a="1"/>
  <c r="DG12" i="5" s="1"/>
  <c r="AH7" i="5"/>
  <c r="BU7" i="5"/>
  <c r="AE22" i="9"/>
  <c r="AI22" i="9"/>
  <c r="AC84" i="9"/>
  <c r="B7" i="2"/>
  <c r="B7" i="1"/>
  <c r="BG7" i="1" s="1"/>
  <c r="B6" i="14"/>
  <c r="S15" i="2"/>
  <c r="P16" i="2"/>
  <c r="N16" i="2"/>
  <c r="R16" i="2"/>
  <c r="Q15" i="2"/>
  <c r="O17" i="2"/>
  <c r="M16" i="2"/>
  <c r="J17" i="10"/>
  <c r="D15" i="12"/>
  <c r="F14" i="12"/>
  <c r="E14" i="12" s="1"/>
  <c r="AG10" i="7" l="1"/>
  <c r="AI10" i="7" s="1"/>
  <c r="AF10" i="7"/>
  <c r="AG11" i="7"/>
  <c r="AI11" i="7" s="1"/>
  <c r="AF11" i="7"/>
  <c r="O20" i="1"/>
  <c r="BL27" i="5" a="1"/>
  <c r="BL27" i="5" s="1"/>
  <c r="BO11" i="8"/>
  <c r="BK11" i="8"/>
  <c r="BL11" i="8"/>
  <c r="BI11" i="8"/>
  <c r="BJ11" i="8"/>
  <c r="BG11" i="8"/>
  <c r="BH11" i="8"/>
  <c r="AP11" i="5"/>
  <c r="BF11" i="8"/>
  <c r="AC11" i="10"/>
  <c r="X11" i="10" s="1"/>
  <c r="AO11" i="5"/>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CL10" i="8" s="1"/>
  <c r="BY10" i="8"/>
  <c r="CQ10" i="8" s="1"/>
  <c r="CR10" i="8" s="1"/>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F12" i="8"/>
  <c r="BT12" i="5"/>
  <c r="AJ12" i="5"/>
  <c r="AW12" i="5"/>
  <c r="B12" i="9"/>
  <c r="W12" i="9" s="1"/>
  <c r="AV12" i="5"/>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B13" i="9" s="1"/>
  <c r="W13" i="9" s="1"/>
  <c r="D14" i="7"/>
  <c r="B14" i="10"/>
  <c r="G15" i="5"/>
  <c r="I15" i="5"/>
  <c r="D14" i="10"/>
  <c r="F14" i="7"/>
  <c r="M15" i="5"/>
  <c r="H14" i="10"/>
  <c r="J14" i="7"/>
  <c r="CY8" i="8"/>
  <c r="G8" i="1" s="1"/>
  <c r="M8" i="8" s="1"/>
  <c r="CL9" i="8"/>
  <c r="CY9" i="8" s="1"/>
  <c r="G9" i="1" s="1"/>
  <c r="M9" i="8" s="1"/>
  <c r="CD12" i="8"/>
  <c r="CT12" i="8" s="1"/>
  <c r="CB17" i="8"/>
  <c r="AF23" i="9"/>
  <c r="J13" i="2"/>
  <c r="V13" i="2"/>
  <c r="CZ14" i="5"/>
  <c r="V14" i="2"/>
  <c r="AC13" i="1"/>
  <c r="DA13" i="5"/>
  <c r="DG13" i="5" s="1" a="1"/>
  <c r="DG13" i="5" s="1"/>
  <c r="AB14" i="1"/>
  <c r="DI14" i="5"/>
  <c r="AE23" i="9"/>
  <c r="AI23" i="9"/>
  <c r="AC85" i="9"/>
  <c r="B7" i="14"/>
  <c r="S16" i="2"/>
  <c r="P17" i="2"/>
  <c r="N17" i="2"/>
  <c r="R17" i="2"/>
  <c r="Q16" i="2"/>
  <c r="M17" i="2"/>
  <c r="F15" i="12"/>
  <c r="E15" i="12" s="1"/>
  <c r="D16" i="12"/>
  <c r="O18" i="2"/>
  <c r="J18" i="10"/>
  <c r="O21" i="1" l="1"/>
  <c r="BL28" i="5" a="1"/>
  <c r="BL28" i="5" s="1"/>
  <c r="BS12" i="8"/>
  <c r="BY12" i="8" s="1"/>
  <c r="BO12" i="8"/>
  <c r="BK12" i="8"/>
  <c r="BL12" i="8"/>
  <c r="BI12" i="8"/>
  <c r="BJ12" i="8"/>
  <c r="BG12" i="8"/>
  <c r="BH12" i="8"/>
  <c r="BF12" i="8"/>
  <c r="AP12" i="5"/>
  <c r="AC12" i="10"/>
  <c r="X12" i="10" s="1"/>
  <c r="AO12" i="5"/>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CY10" i="8"/>
  <c r="G10" i="1" s="1"/>
  <c r="M10" i="8" s="1"/>
  <c r="O10" i="8"/>
  <c r="AR11" i="5"/>
  <c r="D13" i="9"/>
  <c r="CK11" i="8"/>
  <c r="CL11" i="8" s="1"/>
  <c r="BY11" i="8"/>
  <c r="O11" i="8" s="1"/>
  <c r="AQ11" i="5"/>
  <c r="AE12" i="7"/>
  <c r="BT12" i="8"/>
  <c r="CJ12" i="8" s="1"/>
  <c r="CN12" i="8" s="1"/>
  <c r="AB11" i="11"/>
  <c r="P11" i="8" s="1"/>
  <c r="AC11" i="11"/>
  <c r="T11" i="8" s="1"/>
  <c r="Z11" i="11"/>
  <c r="Y11" i="11"/>
  <c r="AH11" i="1" s="1"/>
  <c r="N12" i="7"/>
  <c r="AD11" i="11"/>
  <c r="AI11" i="1" s="1"/>
  <c r="BW12" i="8"/>
  <c r="CM12" i="8" s="1"/>
  <c r="AA11" i="11"/>
  <c r="AK11" i="1" s="1"/>
  <c r="BU12" i="8"/>
  <c r="BV12" i="8"/>
  <c r="BX12" i="8"/>
  <c r="CO12" i="8" s="1"/>
  <c r="CP12" i="8" s="1"/>
  <c r="CU12" i="8"/>
  <c r="A13" i="11"/>
  <c r="AA12" i="11" s="1"/>
  <c r="AK12" i="1" s="1"/>
  <c r="W13" i="8"/>
  <c r="AW13" i="5"/>
  <c r="A13" i="10"/>
  <c r="AA13" i="10" s="1"/>
  <c r="AB13" i="8"/>
  <c r="BM13" i="8" s="1"/>
  <c r="AJ13" i="5"/>
  <c r="BD13" i="8"/>
  <c r="BP13" i="8" s="1"/>
  <c r="B13" i="7"/>
  <c r="Q13" i="7" s="1"/>
  <c r="E13" i="1"/>
  <c r="BE13" i="8"/>
  <c r="BN13" i="8" s="1"/>
  <c r="BR13" i="8"/>
  <c r="BW13" i="8" s="1"/>
  <c r="CM13" i="8" s="1"/>
  <c r="BT13" i="5"/>
  <c r="AI13" i="5"/>
  <c r="B15" i="5"/>
  <c r="DA13" i="8"/>
  <c r="DB13" i="8" s="1"/>
  <c r="AV13" i="5"/>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CZ15" i="5"/>
  <c r="J14" i="2"/>
  <c r="AB15" i="1"/>
  <c r="DI15" i="5"/>
  <c r="C15" i="5"/>
  <c r="AC14" i="1"/>
  <c r="DA14" i="5"/>
  <c r="DG14" i="5" s="1" a="1"/>
  <c r="DG14" i="5" s="1"/>
  <c r="AE24" i="9"/>
  <c r="AI24" i="9"/>
  <c r="AC86" i="9"/>
  <c r="B8" i="14"/>
  <c r="S17" i="2"/>
  <c r="P18" i="2"/>
  <c r="N18" i="2"/>
  <c r="R18" i="2"/>
  <c r="Q17" i="2"/>
  <c r="M18" i="2"/>
  <c r="O19" i="2"/>
  <c r="F16" i="12"/>
  <c r="E16" i="12" s="1"/>
  <c r="D17" i="12"/>
  <c r="F17" i="12" s="1"/>
  <c r="E17" i="12" s="1"/>
  <c r="J19" i="10"/>
  <c r="AG12" i="7" l="1"/>
  <c r="AI12" i="7" s="1"/>
  <c r="AF12" i="7"/>
  <c r="O22" i="1"/>
  <c r="BL29" i="5" a="1"/>
  <c r="BL29" i="5" s="1"/>
  <c r="O12" i="8"/>
  <c r="BZ12" i="8"/>
  <c r="CQ12" i="8" s="1"/>
  <c r="CR12" i="8" s="1"/>
  <c r="BO13" i="8"/>
  <c r="BK13" i="8"/>
  <c r="BL13" i="8"/>
  <c r="BI13" i="8"/>
  <c r="BJ13" i="8"/>
  <c r="BG13" i="8"/>
  <c r="BH13" i="8"/>
  <c r="AP13" i="5"/>
  <c r="BF13" i="8"/>
  <c r="AC13" i="10"/>
  <c r="X13" i="10" s="1"/>
  <c r="AO13" i="5"/>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CL12" i="8" s="1"/>
  <c r="BT13" i="8"/>
  <c r="CJ13" i="8" s="1"/>
  <c r="CN13" i="8" s="1"/>
  <c r="N13" i="7"/>
  <c r="Z12" i="11"/>
  <c r="N13" i="11"/>
  <c r="D14" i="9"/>
  <c r="BX13" i="8"/>
  <c r="CO13" i="8" s="1"/>
  <c r="CP13" i="8" s="1"/>
  <c r="BS13" i="8"/>
  <c r="BZ13" i="8" s="1"/>
  <c r="CC13" i="8"/>
  <c r="CS13" i="8" s="1"/>
  <c r="BV13" i="8"/>
  <c r="BU13" i="8"/>
  <c r="AE13" i="7"/>
  <c r="CD13" i="8"/>
  <c r="CT13" i="8" s="1"/>
  <c r="F15" i="5"/>
  <c r="BD15" i="8" s="1"/>
  <c r="BP15" i="8"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BD14" i="8"/>
  <c r="AF25" i="9"/>
  <c r="AI14" i="5"/>
  <c r="B14" i="9"/>
  <c r="W14" i="9" s="1"/>
  <c r="AB14" i="8"/>
  <c r="BM14" i="8" s="1"/>
  <c r="E14" i="1"/>
  <c r="A14" i="10"/>
  <c r="AA14" i="10" s="1"/>
  <c r="J15" i="2"/>
  <c r="V15" i="2"/>
  <c r="BT14" i="5"/>
  <c r="AW14" i="5"/>
  <c r="AV14" i="5"/>
  <c r="A14" i="11"/>
  <c r="B14" i="7"/>
  <c r="W14" i="8"/>
  <c r="CZ16" i="5"/>
  <c r="J16" i="2"/>
  <c r="AC15" i="1"/>
  <c r="DA15" i="5"/>
  <c r="DG15" i="5" s="1" a="1"/>
  <c r="DG15" i="5" s="1"/>
  <c r="DI16" i="5"/>
  <c r="AB16" i="1"/>
  <c r="AE25" i="9"/>
  <c r="AI25" i="9"/>
  <c r="AC87" i="9"/>
  <c r="B9" i="14"/>
  <c r="S18" i="2"/>
  <c r="P19" i="2"/>
  <c r="N19" i="2"/>
  <c r="R19" i="2"/>
  <c r="Q18" i="2"/>
  <c r="M19" i="2"/>
  <c r="J20" i="10"/>
  <c r="O20" i="2"/>
  <c r="AG13" i="7" l="1"/>
  <c r="AI13" i="7" s="1"/>
  <c r="AF13" i="7"/>
  <c r="O23" i="1"/>
  <c r="BL30" i="5" a="1"/>
  <c r="BL30" i="5" s="1"/>
  <c r="CY12" i="8"/>
  <c r="G12" i="1" s="1"/>
  <c r="M12" i="8" s="1"/>
  <c r="BO14" i="8"/>
  <c r="BP14" i="8"/>
  <c r="BS15" i="8"/>
  <c r="BY15" i="8" s="1"/>
  <c r="BO15" i="8"/>
  <c r="BK14" i="8"/>
  <c r="BL14" i="8"/>
  <c r="BI14" i="8"/>
  <c r="BJ14" i="8"/>
  <c r="BG14" i="8"/>
  <c r="BH14" i="8"/>
  <c r="BF14" i="8"/>
  <c r="AP14" i="5"/>
  <c r="AC14" i="10"/>
  <c r="X14" i="10" s="1"/>
  <c r="AO14" i="5"/>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W15" i="9" s="1"/>
  <c r="CU13" i="8"/>
  <c r="DA15" i="8"/>
  <c r="DB15" i="8" s="1"/>
  <c r="BY13" i="8"/>
  <c r="O13" i="8" s="1"/>
  <c r="CK13" i="8"/>
  <c r="CL13" i="8" s="1"/>
  <c r="D15" i="9"/>
  <c r="D16" i="9" s="1"/>
  <c r="W15" i="8"/>
  <c r="AB15" i="8"/>
  <c r="BM15" i="8" s="1"/>
  <c r="AJ15" i="5"/>
  <c r="AW15" i="5"/>
  <c r="B15" i="7"/>
  <c r="Q15" i="7" s="1"/>
  <c r="A15" i="10"/>
  <c r="AA15" i="10" s="1"/>
  <c r="CF15" i="8"/>
  <c r="BT15" i="5"/>
  <c r="AI15" i="5"/>
  <c r="BE15" i="8"/>
  <c r="BN15" i="8" s="1"/>
  <c r="BR15" i="8"/>
  <c r="CC15" i="8" s="1"/>
  <c r="CS15" i="8" s="1"/>
  <c r="A15" i="11"/>
  <c r="N15" i="11" s="1"/>
  <c r="E15" i="1"/>
  <c r="AV15" i="5"/>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F26" i="9"/>
  <c r="BW14" i="8"/>
  <c r="CM14" i="8" s="1"/>
  <c r="BT14" i="8"/>
  <c r="BV14" i="8"/>
  <c r="BU14" i="8"/>
  <c r="CC14" i="8"/>
  <c r="CS14" i="8" s="1"/>
  <c r="BX14" i="8"/>
  <c r="CO14" i="8" s="1"/>
  <c r="CP14" i="8" s="1"/>
  <c r="AE14" i="7"/>
  <c r="Q14" i="7"/>
  <c r="AA13" i="11"/>
  <c r="AK13" i="1" s="1"/>
  <c r="N14" i="11"/>
  <c r="AD13" i="11"/>
  <c r="AI13" i="1" s="1"/>
  <c r="Z13" i="11"/>
  <c r="AB13" i="11"/>
  <c r="P13" i="8" s="1"/>
  <c r="AC13" i="11"/>
  <c r="T13" i="8" s="1"/>
  <c r="Y13" i="11"/>
  <c r="AH13" i="1" s="1"/>
  <c r="CZ17" i="5"/>
  <c r="C16" i="5"/>
  <c r="F16" i="5" s="1"/>
  <c r="V16" i="2"/>
  <c r="DI17" i="5"/>
  <c r="AB17" i="1"/>
  <c r="V17" i="2"/>
  <c r="AC16" i="1"/>
  <c r="DA16" i="5"/>
  <c r="DG16" i="5" s="1" a="1"/>
  <c r="DG16" i="5" s="1"/>
  <c r="AE26" i="9"/>
  <c r="AI26" i="9"/>
  <c r="AC88" i="9"/>
  <c r="B10" i="14"/>
  <c r="S19" i="2"/>
  <c r="P20" i="2"/>
  <c r="N20" i="2"/>
  <c r="R20" i="2"/>
  <c r="Q19" i="2"/>
  <c r="M20" i="2"/>
  <c r="J21" i="10"/>
  <c r="O21" i="2"/>
  <c r="AG14" i="7" l="1"/>
  <c r="AF14" i="7"/>
  <c r="O24" i="1"/>
  <c r="BL31" i="5" a="1"/>
  <c r="BL31" i="5" s="1"/>
  <c r="BZ15" i="8"/>
  <c r="CQ15" i="8" s="1"/>
  <c r="CR15" i="8" s="1"/>
  <c r="BK15" i="8"/>
  <c r="BL15" i="8"/>
  <c r="BI15" i="8"/>
  <c r="BJ15" i="8"/>
  <c r="BG15" i="8"/>
  <c r="BH15" i="8"/>
  <c r="BF15" i="8"/>
  <c r="AP15" i="5"/>
  <c r="AC15" i="10"/>
  <c r="X15" i="10" s="1"/>
  <c r="AO15" i="5"/>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CJ15" i="8" s="1"/>
  <c r="CN15" i="8" s="1"/>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F27" i="9"/>
  <c r="AQ14" i="5"/>
  <c r="CK14" i="8"/>
  <c r="O14" i="8"/>
  <c r="B14" i="14"/>
  <c r="AI14" i="7"/>
  <c r="AW16" i="5"/>
  <c r="AI16" i="5"/>
  <c r="W16" i="8"/>
  <c r="B16" i="9"/>
  <c r="W16" i="9" s="1"/>
  <c r="A16" i="11"/>
  <c r="AV16" i="5"/>
  <c r="AJ16" i="5"/>
  <c r="AB16" i="8"/>
  <c r="BM16" i="8" s="1"/>
  <c r="BT16" i="5"/>
  <c r="A16" i="10"/>
  <c r="AA16" i="10" s="1"/>
  <c r="B16" i="7"/>
  <c r="E16" i="1"/>
  <c r="J17" i="2"/>
  <c r="C17" i="5"/>
  <c r="F17" i="5" s="1"/>
  <c r="CZ18" i="5"/>
  <c r="C18" i="5"/>
  <c r="AC17" i="1"/>
  <c r="DA17" i="5"/>
  <c r="DG17" i="5" s="1" a="1"/>
  <c r="DG17" i="5" s="1"/>
  <c r="AB18" i="1"/>
  <c r="DI18" i="5"/>
  <c r="AE27" i="9"/>
  <c r="AI27" i="9"/>
  <c r="AC89" i="9"/>
  <c r="B11" i="14"/>
  <c r="S20" i="2"/>
  <c r="P21" i="2"/>
  <c r="N21" i="2"/>
  <c r="R21" i="2"/>
  <c r="Q20" i="2"/>
  <c r="O22" i="2"/>
  <c r="J22" i="10"/>
  <c r="M21" i="2"/>
  <c r="AG15" i="7" l="1"/>
  <c r="AI15" i="7" s="1"/>
  <c r="AF15" i="7"/>
  <c r="O25" i="1"/>
  <c r="BL32" i="5" a="1"/>
  <c r="BL32" i="5" s="1"/>
  <c r="BO16" i="8"/>
  <c r="BK16" i="8"/>
  <c r="BL16" i="8"/>
  <c r="BI16" i="8"/>
  <c r="BJ16" i="8"/>
  <c r="BG16" i="8"/>
  <c r="BH16" i="8"/>
  <c r="BF16" i="8"/>
  <c r="AP16" i="5"/>
  <c r="AC16" i="10"/>
  <c r="X16" i="10" s="1"/>
  <c r="AO16" i="5"/>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O15" i="8"/>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I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F28" i="9"/>
  <c r="J18" i="2"/>
  <c r="V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AW17" i="5"/>
  <c r="B17" i="9"/>
  <c r="W17" i="9" s="1"/>
  <c r="AI17" i="5"/>
  <c r="A17" i="11"/>
  <c r="AB17" i="8"/>
  <c r="BM17" i="8" s="1"/>
  <c r="BT17" i="5"/>
  <c r="AJ17" i="5"/>
  <c r="W17" i="8"/>
  <c r="AV17" i="5"/>
  <c r="A17" i="10"/>
  <c r="AA17" i="10" s="1"/>
  <c r="B17" i="7"/>
  <c r="E17" i="1"/>
  <c r="CZ19" i="5"/>
  <c r="AE16" i="7"/>
  <c r="Q16" i="7"/>
  <c r="V19" i="2"/>
  <c r="AC18" i="1"/>
  <c r="DA18" i="5"/>
  <c r="DG18" i="5" s="1" a="1"/>
  <c r="DG18" i="5" s="1"/>
  <c r="DI19" i="5"/>
  <c r="AB19" i="1"/>
  <c r="AE28" i="9"/>
  <c r="AI28" i="9"/>
  <c r="AC90" i="9"/>
  <c r="B12" i="14"/>
  <c r="S21" i="2"/>
  <c r="P22" i="2"/>
  <c r="N22" i="2"/>
  <c r="R22" i="2"/>
  <c r="Q21" i="2"/>
  <c r="P23" i="2"/>
  <c r="J23" i="10"/>
  <c r="M22" i="2"/>
  <c r="O23" i="2"/>
  <c r="AG16" i="7" l="1"/>
  <c r="AF16" i="7"/>
  <c r="O26" i="1"/>
  <c r="BL33" i="5" a="1"/>
  <c r="BL33" i="5" s="1"/>
  <c r="BO17" i="8"/>
  <c r="BK17" i="8"/>
  <c r="BL17" i="8"/>
  <c r="BI17" i="8"/>
  <c r="BJ17" i="8"/>
  <c r="BG17" i="8"/>
  <c r="BH17" i="8"/>
  <c r="BF17" i="8"/>
  <c r="AP17" i="5"/>
  <c r="AC17" i="10"/>
  <c r="X17" i="10" s="1"/>
  <c r="AO17" i="5"/>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B18" i="9"/>
  <c r="W18" i="9" s="1"/>
  <c r="A18" i="10"/>
  <c r="BU20" i="5"/>
  <c r="B20" i="1"/>
  <c r="BG20" i="1" s="1"/>
  <c r="AH20" i="5"/>
  <c r="B20" i="2"/>
  <c r="AV18" i="5"/>
  <c r="AM18" i="5" s="1"/>
  <c r="E18" i="1"/>
  <c r="BT18" i="5"/>
  <c r="AW18" i="5"/>
  <c r="AN18" i="5" s="1"/>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CQ16" i="8" s="1"/>
  <c r="CR16" i="8" s="1"/>
  <c r="BS17" i="8"/>
  <c r="BY17" i="8" s="1"/>
  <c r="N17" i="7"/>
  <c r="AF29" i="9"/>
  <c r="AI16" i="7"/>
  <c r="AQ16" i="5"/>
  <c r="J19" i="2"/>
  <c r="Q17" i="7"/>
  <c r="AE17" i="7"/>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B20" i="1"/>
  <c r="DI20" i="5"/>
  <c r="V20" i="2"/>
  <c r="AC19" i="1"/>
  <c r="DA19" i="5"/>
  <c r="DG19" i="5" s="1" a="1"/>
  <c r="DG19" i="5" s="1"/>
  <c r="AE29" i="9"/>
  <c r="AI29" i="9"/>
  <c r="AC91" i="9"/>
  <c r="B16" i="14"/>
  <c r="N5" i="1"/>
  <c r="S22" i="2"/>
  <c r="N23" i="2"/>
  <c r="R23" i="2"/>
  <c r="Q22" i="2"/>
  <c r="M23" i="2"/>
  <c r="P24" i="2"/>
  <c r="O24" i="2"/>
  <c r="J24" i="10"/>
  <c r="AG17" i="7" l="1"/>
  <c r="AF17" i="7"/>
  <c r="O27" i="1"/>
  <c r="BL34" i="5" a="1"/>
  <c r="BL34" i="5" s="1"/>
  <c r="AP18" i="5"/>
  <c r="BO18" i="8"/>
  <c r="BK18" i="8"/>
  <c r="BL18" i="8"/>
  <c r="BI18" i="8"/>
  <c r="BJ18" i="8"/>
  <c r="BG18" i="8"/>
  <c r="BH18" i="8"/>
  <c r="BF18" i="8"/>
  <c r="AC18" i="10"/>
  <c r="AO18" i="5"/>
  <c r="AQ18" i="5" s="1"/>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D19" i="9"/>
  <c r="BT18" i="8"/>
  <c r="CJ18" i="8" s="1"/>
  <c r="CN18" i="8" s="1"/>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Y16" i="8" s="1"/>
  <c r="G16" i="1" s="1"/>
  <c r="M16" i="8" s="1"/>
  <c r="CJ17" i="8"/>
  <c r="CN17" i="8" s="1"/>
  <c r="CU17" i="8"/>
  <c r="BZ17" i="8"/>
  <c r="CQ17" i="8" s="1"/>
  <c r="CR17" i="8" s="1"/>
  <c r="DA19" i="8"/>
  <c r="DB19" i="8" s="1"/>
  <c r="O17" i="8"/>
  <c r="CF19" i="8"/>
  <c r="CB24" i="8"/>
  <c r="O16" i="8"/>
  <c r="BR19" i="8"/>
  <c r="BD19" i="8"/>
  <c r="BE19" i="8"/>
  <c r="BN19" i="8" s="1"/>
  <c r="AF30" i="9"/>
  <c r="AI17" i="7"/>
  <c r="J20" i="2"/>
  <c r="AW19" i="5"/>
  <c r="E19" i="1"/>
  <c r="AI19" i="5"/>
  <c r="W19" i="8"/>
  <c r="B19" i="9"/>
  <c r="W19" i="9" s="1"/>
  <c r="A19" i="11"/>
  <c r="AV19" i="5"/>
  <c r="AB19" i="8"/>
  <c r="BM19" i="8" s="1"/>
  <c r="BT19" i="5"/>
  <c r="AJ19" i="5"/>
  <c r="A19" i="10"/>
  <c r="AA19" i="10" s="1"/>
  <c r="B19" i="7"/>
  <c r="C20" i="5"/>
  <c r="F20" i="5" s="1"/>
  <c r="AQ17" i="5"/>
  <c r="CZ21" i="5"/>
  <c r="CK17" i="8"/>
  <c r="AR17" i="5"/>
  <c r="C21" i="5"/>
  <c r="AC20" i="1"/>
  <c r="DA20" i="5"/>
  <c r="DG20" i="5" s="1" a="1"/>
  <c r="DG20" i="5" s="1"/>
  <c r="AB21" i="1"/>
  <c r="DI21" i="5"/>
  <c r="AE30" i="9"/>
  <c r="AI30" i="9"/>
  <c r="AC92" i="9"/>
  <c r="N6" i="1"/>
  <c r="S23" i="2"/>
  <c r="N24" i="2"/>
  <c r="R24" i="2"/>
  <c r="Q23" i="2"/>
  <c r="J25" i="10"/>
  <c r="O25" i="2"/>
  <c r="P25" i="2"/>
  <c r="M24" i="2"/>
  <c r="AG18" i="7" l="1"/>
  <c r="AI18" i="7" s="1"/>
  <c r="AF18" i="7"/>
  <c r="O28" i="1"/>
  <c r="BL35" i="5" a="1"/>
  <c r="BL35" i="5" s="1"/>
  <c r="X18" i="10"/>
  <c r="BO19" i="8"/>
  <c r="BP19" i="8"/>
  <c r="BK19" i="8"/>
  <c r="BL19" i="8"/>
  <c r="BI19" i="8"/>
  <c r="BJ19" i="8"/>
  <c r="BG19" i="8"/>
  <c r="BH19" i="8"/>
  <c r="BF19" i="8"/>
  <c r="AN19" i="5"/>
  <c r="AP19" i="5"/>
  <c r="AC19" i="10"/>
  <c r="X19" i="10" s="1"/>
  <c r="AO19" i="5"/>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CL18" i="8" s="1"/>
  <c r="AR18" i="5"/>
  <c r="D20" i="9"/>
  <c r="CU18" i="8"/>
  <c r="O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DA21" i="8" s="1"/>
  <c r="DB21" i="8"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F31" i="9"/>
  <c r="AW20" i="5"/>
  <c r="AJ20" i="5"/>
  <c r="W20" i="8"/>
  <c r="B20" i="9"/>
  <c r="W20" i="9" s="1"/>
  <c r="AI20" i="5"/>
  <c r="A20" i="11"/>
  <c r="BT20" i="5"/>
  <c r="AB20" i="8"/>
  <c r="BM20" i="8" s="1"/>
  <c r="AV20" i="5"/>
  <c r="A20" i="10"/>
  <c r="AA20" i="10" s="1"/>
  <c r="B20" i="7"/>
  <c r="E20" i="1"/>
  <c r="CZ22" i="5"/>
  <c r="J21" i="2"/>
  <c r="AE19" i="7"/>
  <c r="Q19" i="7"/>
  <c r="Y18" i="11"/>
  <c r="AH18" i="1" s="1"/>
  <c r="N19" i="11"/>
  <c r="AD18" i="11"/>
  <c r="AI18" i="1" s="1"/>
  <c r="AA18" i="11"/>
  <c r="AK18" i="1" s="1"/>
  <c r="AB18" i="11"/>
  <c r="P18" i="8" s="1"/>
  <c r="Z18" i="11"/>
  <c r="AC18" i="11"/>
  <c r="T18" i="8" s="1"/>
  <c r="V21" i="2"/>
  <c r="BX19" i="8"/>
  <c r="CO19" i="8" s="1"/>
  <c r="CP19" i="8" s="1"/>
  <c r="CC19" i="8"/>
  <c r="CS19" i="8" s="1"/>
  <c r="BV19" i="8"/>
  <c r="BW19" i="8"/>
  <c r="CM19" i="8" s="1"/>
  <c r="BT19" i="8"/>
  <c r="BU19" i="8"/>
  <c r="DI22" i="5"/>
  <c r="AB22" i="1"/>
  <c r="J22" i="2"/>
  <c r="AC21" i="1"/>
  <c r="DA21" i="5"/>
  <c r="DG21" i="5" s="1" a="1"/>
  <c r="DG21" i="5" s="1"/>
  <c r="AE31" i="9"/>
  <c r="AI31" i="9"/>
  <c r="AC93" i="9"/>
  <c r="B17" i="14"/>
  <c r="N7" i="1"/>
  <c r="S24" i="2"/>
  <c r="N25" i="2"/>
  <c r="R25" i="2"/>
  <c r="Q24" i="2"/>
  <c r="P26" i="2"/>
  <c r="O26" i="2"/>
  <c r="M25" i="2"/>
  <c r="J26" i="10"/>
  <c r="AG19" i="7" l="1"/>
  <c r="AF19" i="7"/>
  <c r="O29" i="1"/>
  <c r="BL36" i="5" a="1"/>
  <c r="BL36" i="5" s="1"/>
  <c r="BO20" i="8"/>
  <c r="BK20" i="8"/>
  <c r="BL20" i="8"/>
  <c r="BI20" i="8"/>
  <c r="BJ20" i="8"/>
  <c r="BG20" i="8"/>
  <c r="BH20" i="8"/>
  <c r="AP20" i="5"/>
  <c r="BF20" i="8"/>
  <c r="AC20" i="10"/>
  <c r="X20" i="10" s="1"/>
  <c r="AO20" i="5"/>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CY18" i="8"/>
  <c r="G18" i="1" s="1"/>
  <c r="M18" i="8" s="1"/>
  <c r="E21" i="1"/>
  <c r="CF21" i="8"/>
  <c r="BR21" i="8"/>
  <c r="BV21" i="8" s="1"/>
  <c r="B23" i="5"/>
  <c r="W21" i="8"/>
  <c r="BE21" i="8"/>
  <c r="BN21" i="8" s="1"/>
  <c r="B21" i="7"/>
  <c r="AE21" i="7" s="1"/>
  <c r="BD21" i="8"/>
  <c r="BP21" i="8" s="1"/>
  <c r="A21" i="10"/>
  <c r="AA21" i="10" s="1"/>
  <c r="B21" i="9"/>
  <c r="W21" i="9" s="1"/>
  <c r="AB21" i="8"/>
  <c r="BM21" i="8" s="1"/>
  <c r="AJ21" i="5"/>
  <c r="A21" i="11"/>
  <c r="N21" i="11" s="1"/>
  <c r="AV21" i="5"/>
  <c r="AW21" i="5"/>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D21" i="8"/>
  <c r="CT21" i="8" s="1"/>
  <c r="CB26" i="8"/>
  <c r="BY19" i="8"/>
  <c r="CQ19" i="8" s="1"/>
  <c r="CR19" i="8" s="1"/>
  <c r="BS20" i="8"/>
  <c r="BY20" i="8" s="1"/>
  <c r="N20" i="7"/>
  <c r="AF32" i="9"/>
  <c r="AI19" i="7"/>
  <c r="C22" i="5"/>
  <c r="F22" i="5" s="1"/>
  <c r="CZ23" i="5"/>
  <c r="V22" i="2"/>
  <c r="CK19" i="8"/>
  <c r="Z19" i="11"/>
  <c r="N20" i="11"/>
  <c r="AC19" i="11"/>
  <c r="T19" i="8" s="1"/>
  <c r="AB19" i="11"/>
  <c r="P19" i="8" s="1"/>
  <c r="AA19" i="11"/>
  <c r="AK19" i="1" s="1"/>
  <c r="AD19" i="11"/>
  <c r="AI19" i="1" s="1"/>
  <c r="Y19" i="11"/>
  <c r="AH19" i="1" s="1"/>
  <c r="Q20" i="7"/>
  <c r="AE20" i="7"/>
  <c r="AR19" i="5"/>
  <c r="AQ19" i="5"/>
  <c r="BT20" i="8"/>
  <c r="BU20" i="8"/>
  <c r="BX20" i="8"/>
  <c r="CO20" i="8" s="1"/>
  <c r="CP20" i="8" s="1"/>
  <c r="CC20" i="8"/>
  <c r="CS20" i="8" s="1"/>
  <c r="BV20" i="8"/>
  <c r="BW20" i="8"/>
  <c r="CM20" i="8" s="1"/>
  <c r="C23" i="5"/>
  <c r="AC22" i="1"/>
  <c r="DA22" i="5"/>
  <c r="DG22" i="5" s="1" a="1"/>
  <c r="DG22" i="5" s="1"/>
  <c r="DI23" i="5"/>
  <c r="AB23" i="1"/>
  <c r="AE32" i="9"/>
  <c r="AI32" i="9"/>
  <c r="AC94" i="9"/>
  <c r="B18" i="14"/>
  <c r="N8" i="1"/>
  <c r="S25" i="2"/>
  <c r="N26" i="2"/>
  <c r="R26" i="2"/>
  <c r="Q25" i="2"/>
  <c r="M26" i="2"/>
  <c r="O27" i="2"/>
  <c r="J27" i="10"/>
  <c r="P27" i="2"/>
  <c r="AG21" i="7" l="1"/>
  <c r="AI21" i="7" s="1"/>
  <c r="AF21" i="7"/>
  <c r="AG20" i="7"/>
  <c r="AF20" i="7"/>
  <c r="O30" i="1"/>
  <c r="BL37" i="5" a="1"/>
  <c r="BL37" i="5" s="1"/>
  <c r="BO21" i="8"/>
  <c r="BK21" i="8"/>
  <c r="BL21" i="8"/>
  <c r="BI21" i="8"/>
  <c r="BJ21" i="8"/>
  <c r="BG21" i="8"/>
  <c r="BH21" i="8"/>
  <c r="BF21" i="8"/>
  <c r="AP21" i="5"/>
  <c r="AC21" i="10"/>
  <c r="X21" i="10" s="1"/>
  <c r="AO21" i="5"/>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DA23" i="8" s="1"/>
  <c r="DB23" i="8" s="1"/>
  <c r="Z20" i="11"/>
  <c r="AA20" i="11"/>
  <c r="AK20" i="1" s="1"/>
  <c r="Y20" i="11"/>
  <c r="AH20" i="1" s="1"/>
  <c r="AB20" i="11"/>
  <c r="P20" i="8" s="1"/>
  <c r="BT21" i="8"/>
  <c r="CJ21" i="8" s="1"/>
  <c r="CN21" i="8" s="1"/>
  <c r="BU21" i="8"/>
  <c r="CK21" i="8" s="1"/>
  <c r="BX21" i="8"/>
  <c r="CO21" i="8" s="1"/>
  <c r="CP21" i="8" s="1"/>
  <c r="N21" i="7"/>
  <c r="CC21" i="8"/>
  <c r="CS21" i="8" s="1"/>
  <c r="CU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Y19" i="8" s="1"/>
  <c r="G19" i="1" s="1"/>
  <c r="M19" i="8" s="1"/>
  <c r="CJ20" i="8"/>
  <c r="CN20" i="8" s="1"/>
  <c r="CU20" i="8"/>
  <c r="DA22" i="8"/>
  <c r="DB22" i="8" s="1"/>
  <c r="BZ20" i="8"/>
  <c r="CQ20" i="8" s="1"/>
  <c r="CR20" i="8" s="1"/>
  <c r="CF22" i="8"/>
  <c r="CB27" i="8"/>
  <c r="O19" i="8"/>
  <c r="BR22" i="8"/>
  <c r="BD22" i="8"/>
  <c r="BP22" i="8" s="1"/>
  <c r="BE22" i="8"/>
  <c r="BN22" i="8" s="1"/>
  <c r="AF33" i="9"/>
  <c r="AI20" i="7"/>
  <c r="AR20" i="5"/>
  <c r="AQ20" i="5"/>
  <c r="J23" i="2"/>
  <c r="CK20" i="8"/>
  <c r="V23" i="2"/>
  <c r="O20" i="8"/>
  <c r="AW22" i="5"/>
  <c r="AJ22" i="5"/>
  <c r="W22" i="8"/>
  <c r="E22" i="1"/>
  <c r="B22" i="9"/>
  <c r="W22" i="9" s="1"/>
  <c r="AI22" i="5"/>
  <c r="A22" i="11"/>
  <c r="AB22" i="8"/>
  <c r="BM22" i="8" s="1"/>
  <c r="BT22" i="5"/>
  <c r="AV22" i="5"/>
  <c r="A22" i="10"/>
  <c r="AA22" i="10" s="1"/>
  <c r="B22" i="7"/>
  <c r="CZ24" i="5"/>
  <c r="AB24" i="1"/>
  <c r="DI24" i="5"/>
  <c r="V24" i="2"/>
  <c r="AC23" i="1"/>
  <c r="DA23" i="5"/>
  <c r="DG23" i="5" s="1" a="1"/>
  <c r="DG23" i="5" s="1"/>
  <c r="AE33" i="9"/>
  <c r="AI33" i="9"/>
  <c r="AC95" i="9"/>
  <c r="B19" i="14"/>
  <c r="N9" i="1"/>
  <c r="S26" i="2"/>
  <c r="N27" i="2"/>
  <c r="R27" i="2"/>
  <c r="Q26" i="2"/>
  <c r="M27" i="2"/>
  <c r="O28" i="2"/>
  <c r="J28" i="10"/>
  <c r="P28" i="2"/>
  <c r="O31" i="1" l="1"/>
  <c r="BL38" i="5" a="1"/>
  <c r="BL38" i="5" s="1"/>
  <c r="AP22" i="5"/>
  <c r="BO22" i="8"/>
  <c r="BK22" i="8"/>
  <c r="BL22" i="8"/>
  <c r="BI22" i="8"/>
  <c r="BJ22" i="8"/>
  <c r="BG22" i="8"/>
  <c r="BH22" i="8"/>
  <c r="BF22" i="8"/>
  <c r="AC22" i="10"/>
  <c r="X22" i="10" s="1"/>
  <c r="AO22" i="5"/>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AV23" i="5"/>
  <c r="W23" i="8"/>
  <c r="BE23" i="8"/>
  <c r="BN23" i="8" s="1"/>
  <c r="AJ23" i="5"/>
  <c r="BR23" i="8"/>
  <c r="BX23" i="8" s="1"/>
  <c r="CO23" i="8" s="1"/>
  <c r="CP23" i="8" s="1"/>
  <c r="AI23" i="5"/>
  <c r="AW23" i="5"/>
  <c r="AB23" i="8"/>
  <c r="BM23" i="8" s="1"/>
  <c r="A23" i="11"/>
  <c r="N23" i="11" s="1"/>
  <c r="E23" i="1"/>
  <c r="B23" i="9"/>
  <c r="W23" i="9" s="1"/>
  <c r="B23" i="7"/>
  <c r="AE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CL21" i="8"/>
  <c r="D23" i="9"/>
  <c r="CD23" i="8"/>
  <c r="CT23" i="8" s="1"/>
  <c r="CD22" i="8"/>
  <c r="CT22" i="8" s="1"/>
  <c r="CB28" i="8"/>
  <c r="BS22" i="8"/>
  <c r="BY22" i="8" s="1"/>
  <c r="N22" i="7"/>
  <c r="AF34" i="9"/>
  <c r="CZ25" i="5"/>
  <c r="CC22" i="8"/>
  <c r="CS22" i="8" s="1"/>
  <c r="BV22" i="8"/>
  <c r="BW22" i="8"/>
  <c r="CM22" i="8" s="1"/>
  <c r="BT22" i="8"/>
  <c r="BU22" i="8"/>
  <c r="BX22" i="8"/>
  <c r="CO22" i="8" s="1"/>
  <c r="CP22" i="8" s="1"/>
  <c r="J24" i="2"/>
  <c r="C24" i="5"/>
  <c r="F24" i="5" s="1"/>
  <c r="AA21" i="11"/>
  <c r="AK21" i="1" s="1"/>
  <c r="N22" i="11"/>
  <c r="AB21" i="11"/>
  <c r="P21" i="8" s="1"/>
  <c r="AC21" i="11"/>
  <c r="T21" i="8" s="1"/>
  <c r="AD21" i="11"/>
  <c r="AI21" i="1" s="1"/>
  <c r="Y21" i="11"/>
  <c r="AH21" i="1" s="1"/>
  <c r="Z21" i="11"/>
  <c r="AE22" i="7"/>
  <c r="Q22" i="7"/>
  <c r="C25" i="5"/>
  <c r="AC24" i="1"/>
  <c r="DA24" i="5"/>
  <c r="DG24" i="5" s="1" a="1"/>
  <c r="DG24" i="5" s="1"/>
  <c r="AB25" i="1"/>
  <c r="DI25" i="5"/>
  <c r="AE34" i="9"/>
  <c r="AI34" i="9"/>
  <c r="AC96" i="9"/>
  <c r="B20" i="14"/>
  <c r="N10" i="1"/>
  <c r="S27" i="2"/>
  <c r="N28" i="2"/>
  <c r="R28" i="2"/>
  <c r="Q27" i="2"/>
  <c r="P29" i="2"/>
  <c r="J29" i="10"/>
  <c r="O29" i="2"/>
  <c r="M28" i="2"/>
  <c r="AG22" i="7" l="1"/>
  <c r="AF22" i="7"/>
  <c r="AG23" i="7"/>
  <c r="AI23" i="7" s="1"/>
  <c r="AF23" i="7"/>
  <c r="O32" i="1"/>
  <c r="BL39" i="5" a="1"/>
  <c r="BL39" i="5" s="1"/>
  <c r="BO23" i="8"/>
  <c r="AN23" i="5"/>
  <c r="AP23" i="5"/>
  <c r="BK23" i="8"/>
  <c r="BL23" i="8"/>
  <c r="BI23" i="8"/>
  <c r="BJ23" i="8"/>
  <c r="BG23" i="8"/>
  <c r="BH23" i="8"/>
  <c r="BF23" i="8"/>
  <c r="AC23" i="10"/>
  <c r="X23" i="10" s="1"/>
  <c r="AO23" i="5"/>
  <c r="AM23" i="5"/>
  <c r="AH27" i="11"/>
  <c r="AS27" i="5"/>
  <c r="E31" i="8"/>
  <c r="CA99" i="8"/>
  <c r="CQ21" i="8"/>
  <c r="CR21" i="8" s="1"/>
  <c r="CY21" i="8" s="1"/>
  <c r="G21" i="1" s="1"/>
  <c r="M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CU23" i="8" s="1"/>
  <c r="BV23" i="8"/>
  <c r="BU23" i="8"/>
  <c r="BT23" i="8"/>
  <c r="CJ23" i="8" s="1"/>
  <c r="CN23" i="8" s="1"/>
  <c r="Y22" i="11"/>
  <c r="AH22" i="1" s="1"/>
  <c r="N23" i="7"/>
  <c r="AA22" i="11"/>
  <c r="AK22" i="1" s="1"/>
  <c r="AB22" i="11"/>
  <c r="P22" i="8" s="1"/>
  <c r="BS23" i="8"/>
  <c r="BZ23" i="8" s="1"/>
  <c r="D24" i="9"/>
  <c r="AC22" i="11"/>
  <c r="T22" i="8" s="1"/>
  <c r="AD22" i="11"/>
  <c r="AI22" i="1" s="1"/>
  <c r="F25" i="5"/>
  <c r="BE25" i="8" s="1"/>
  <c r="BN25" i="8"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O22" i="8"/>
  <c r="BR24" i="8"/>
  <c r="BD24" i="8"/>
  <c r="BE24" i="8"/>
  <c r="BN24" i="8" s="1"/>
  <c r="AF35" i="9"/>
  <c r="AI22" i="7"/>
  <c r="AR22" i="5"/>
  <c r="AW24" i="5"/>
  <c r="AI24" i="5"/>
  <c r="A24" i="11"/>
  <c r="E24" i="1"/>
  <c r="AV24" i="5"/>
  <c r="AB24" i="8"/>
  <c r="BM24" i="8" s="1"/>
  <c r="BT24" i="5"/>
  <c r="A24" i="10"/>
  <c r="AA24" i="10" s="1"/>
  <c r="B24" i="7"/>
  <c r="B24" i="9"/>
  <c r="W24" i="9" s="1"/>
  <c r="AJ24" i="5"/>
  <c r="W24" i="8"/>
  <c r="CZ26" i="5"/>
  <c r="J25" i="2"/>
  <c r="V25" i="2"/>
  <c r="AQ22" i="5"/>
  <c r="CK22" i="8"/>
  <c r="AB26" i="1"/>
  <c r="DI26" i="5"/>
  <c r="V26" i="2"/>
  <c r="AC25" i="1"/>
  <c r="DA25" i="5"/>
  <c r="DG25" i="5" s="1" a="1"/>
  <c r="DG25" i="5" s="1"/>
  <c r="AE35" i="9"/>
  <c r="AI35" i="9"/>
  <c r="AC97" i="9"/>
  <c r="B21" i="14"/>
  <c r="N11" i="1"/>
  <c r="S28" i="2"/>
  <c r="N29" i="2"/>
  <c r="R29" i="2"/>
  <c r="Q28" i="2"/>
  <c r="O30" i="2"/>
  <c r="J30" i="10"/>
  <c r="M29" i="2"/>
  <c r="P30" i="2"/>
  <c r="O33" i="1" l="1"/>
  <c r="BL40" i="5" a="1"/>
  <c r="BL40" i="5" s="1"/>
  <c r="BO24" i="8"/>
  <c r="BP24" i="8"/>
  <c r="AP24" i="5"/>
  <c r="BK24" i="8"/>
  <c r="BL24" i="8"/>
  <c r="BI24" i="8"/>
  <c r="BJ24" i="8"/>
  <c r="BG24" i="8"/>
  <c r="BH24" i="8"/>
  <c r="BF24" i="8"/>
  <c r="AC24" i="10"/>
  <c r="X24" i="10" s="1"/>
  <c r="AO24" i="5"/>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CL23" i="8" s="1"/>
  <c r="B25" i="9"/>
  <c r="W25" i="9" s="1"/>
  <c r="BY23" i="8"/>
  <c r="O23" i="8" s="1"/>
  <c r="AI25" i="5"/>
  <c r="DA25" i="8"/>
  <c r="DB25" i="8" s="1"/>
  <c r="E25" i="1"/>
  <c r="AJ25" i="5"/>
  <c r="BD25" i="8"/>
  <c r="BP25" i="8" s="1"/>
  <c r="BR25" i="8"/>
  <c r="BW25" i="8" s="1"/>
  <c r="CM25" i="8" s="1"/>
  <c r="AW25" i="5"/>
  <c r="D25" i="9"/>
  <c r="BT25" i="5"/>
  <c r="AB25" i="8"/>
  <c r="BM25" i="8" s="1"/>
  <c r="B25" i="7"/>
  <c r="Q25" i="7" s="1"/>
  <c r="W25" i="8"/>
  <c r="AV25" i="5"/>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F36" i="9"/>
  <c r="J26" i="2"/>
  <c r="AE24" i="7"/>
  <c r="Q24" i="7"/>
  <c r="C26" i="5"/>
  <c r="F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V27" i="2"/>
  <c r="AC26" i="1"/>
  <c r="DA26" i="5"/>
  <c r="DG26" i="5" s="1" a="1"/>
  <c r="DG26" i="5" s="1"/>
  <c r="AB27" i="1"/>
  <c r="DI27" i="5"/>
  <c r="AE36" i="9"/>
  <c r="AI36" i="9"/>
  <c r="AC98" i="9"/>
  <c r="B22" i="14"/>
  <c r="N12" i="1"/>
  <c r="S29" i="2"/>
  <c r="N30" i="2"/>
  <c r="R30" i="2"/>
  <c r="Q29" i="2"/>
  <c r="J31" i="10"/>
  <c r="M30" i="2"/>
  <c r="O31" i="2"/>
  <c r="P31" i="2"/>
  <c r="AG24" i="7" l="1"/>
  <c r="AF24" i="7"/>
  <c r="O34" i="1"/>
  <c r="BL41" i="5" a="1"/>
  <c r="BL41" i="5" s="1"/>
  <c r="BO25" i="8"/>
  <c r="AP25" i="5"/>
  <c r="BK25" i="8"/>
  <c r="BL25" i="8"/>
  <c r="BI25" i="8"/>
  <c r="BJ25" i="8"/>
  <c r="BG25" i="8"/>
  <c r="BH25" i="8"/>
  <c r="BF25" i="8"/>
  <c r="AC25" i="10"/>
  <c r="X25" i="10" s="1"/>
  <c r="AO25" i="5"/>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CY23" i="8" s="1"/>
  <c r="G23" i="1" s="1"/>
  <c r="M23" i="8" s="1"/>
  <c r="AC24" i="11"/>
  <c r="T24" i="8" s="1"/>
  <c r="AB24" i="11"/>
  <c r="P24" i="8" s="1"/>
  <c r="BU25" i="8"/>
  <c r="BX25" i="8"/>
  <c r="CO25" i="8" s="1"/>
  <c r="CP25" i="8" s="1"/>
  <c r="CD25" i="8"/>
  <c r="CT25" i="8" s="1"/>
  <c r="BV25" i="8"/>
  <c r="CC25" i="8"/>
  <c r="CS25" i="8" s="1"/>
  <c r="N25" i="7"/>
  <c r="BT25" i="8"/>
  <c r="CJ25" i="8" s="1"/>
  <c r="CN25" i="8" s="1"/>
  <c r="BS25" i="8"/>
  <c r="BZ25" i="8" s="1"/>
  <c r="D26" i="9"/>
  <c r="AE25" i="7"/>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O24" i="8"/>
  <c r="CF26" i="8"/>
  <c r="CB31" i="8"/>
  <c r="BR26" i="8"/>
  <c r="BD26" i="8"/>
  <c r="BE26" i="8"/>
  <c r="BN26" i="8" s="1"/>
  <c r="AF37" i="9"/>
  <c r="AI24" i="7"/>
  <c r="AR24" i="5"/>
  <c r="C27" i="5"/>
  <c r="F27" i="5" s="1"/>
  <c r="CZ28" i="5"/>
  <c r="CK24" i="8"/>
  <c r="AQ24" i="5"/>
  <c r="AW26" i="5"/>
  <c r="AV26" i="5"/>
  <c r="AJ26" i="5"/>
  <c r="AB26" i="8"/>
  <c r="BM26" i="8" s="1"/>
  <c r="BT26" i="5"/>
  <c r="A26" i="10"/>
  <c r="AA26" i="10" s="1"/>
  <c r="B26" i="7"/>
  <c r="W26" i="8"/>
  <c r="E26" i="1"/>
  <c r="AI26" i="5"/>
  <c r="A26" i="11"/>
  <c r="B26" i="9"/>
  <c r="W26" i="9" s="1"/>
  <c r="J27" i="2"/>
  <c r="AB28" i="1"/>
  <c r="DI28" i="5"/>
  <c r="V28" i="2"/>
  <c r="AC27" i="1"/>
  <c r="DA27" i="5"/>
  <c r="DG27" i="5" s="1" a="1"/>
  <c r="DG27" i="5" s="1"/>
  <c r="AE37" i="9"/>
  <c r="AI37" i="9"/>
  <c r="AC99" i="9"/>
  <c r="B23" i="14"/>
  <c r="N13" i="1"/>
  <c r="S30" i="2"/>
  <c r="N31" i="2"/>
  <c r="R31" i="2"/>
  <c r="Q30" i="2"/>
  <c r="P32" i="2"/>
  <c r="J32" i="10"/>
  <c r="O32" i="2"/>
  <c r="M31" i="2"/>
  <c r="AG25" i="7" l="1"/>
  <c r="AI25" i="7" s="1"/>
  <c r="AF25" i="7"/>
  <c r="O35" i="1"/>
  <c r="BL42" i="5" a="1"/>
  <c r="BL42" i="5" s="1"/>
  <c r="AP26" i="5"/>
  <c r="BO26" i="8"/>
  <c r="BP26" i="8"/>
  <c r="BK26" i="8"/>
  <c r="BL26" i="8"/>
  <c r="BI26" i="8"/>
  <c r="BJ26" i="8"/>
  <c r="BG26" i="8"/>
  <c r="BH26" i="8"/>
  <c r="BF26" i="8"/>
  <c r="AC26" i="10"/>
  <c r="X26" i="10" s="1"/>
  <c r="AO26" i="5"/>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L25" i="8" s="1"/>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F38" i="9"/>
  <c r="AA25" i="11"/>
  <c r="AK25" i="1" s="1"/>
  <c r="Z25" i="11"/>
  <c r="AC25" i="11"/>
  <c r="T25" i="8" s="1"/>
  <c r="AD25" i="11"/>
  <c r="AI25" i="1" s="1"/>
  <c r="N26" i="11"/>
  <c r="AB25" i="11"/>
  <c r="P25" i="8" s="1"/>
  <c r="Y25" i="11"/>
  <c r="AH25" i="1" s="1"/>
  <c r="J28" i="2"/>
  <c r="CZ29" i="5"/>
  <c r="C28" i="5"/>
  <c r="F28" i="5" s="1"/>
  <c r="E28" i="1" s="1"/>
  <c r="CC26" i="8"/>
  <c r="CS26" i="8" s="1"/>
  <c r="BV26" i="8"/>
  <c r="BT26" i="8"/>
  <c r="BU26" i="8"/>
  <c r="BX26" i="8"/>
  <c r="CO26" i="8" s="1"/>
  <c r="CP26" i="8" s="1"/>
  <c r="BW26" i="8"/>
  <c r="CM26" i="8" s="1"/>
  <c r="AW27" i="5"/>
  <c r="A27" i="11"/>
  <c r="AV27" i="5"/>
  <c r="B27" i="9"/>
  <c r="W27" i="9" s="1"/>
  <c r="B27" i="7"/>
  <c r="AJ27" i="5"/>
  <c r="AB27" i="8"/>
  <c r="BM27" i="8" s="1"/>
  <c r="BT27" i="5"/>
  <c r="AI27" i="5"/>
  <c r="W27" i="8"/>
  <c r="E27" i="1"/>
  <c r="A27" i="10"/>
  <c r="AA27" i="10" s="1"/>
  <c r="Q26" i="7"/>
  <c r="AE26" i="7"/>
  <c r="C29" i="5"/>
  <c r="AC28" i="1"/>
  <c r="DA28" i="5"/>
  <c r="DG28" i="5" s="1" a="1"/>
  <c r="DG28" i="5" s="1"/>
  <c r="DI29" i="5"/>
  <c r="AB29" i="1"/>
  <c r="AE38" i="9"/>
  <c r="AI38" i="9"/>
  <c r="AC100" i="9"/>
  <c r="B24" i="14"/>
  <c r="N14" i="1"/>
  <c r="S31" i="2"/>
  <c r="N32" i="2"/>
  <c r="R32" i="2"/>
  <c r="Q31" i="2"/>
  <c r="O33" i="2"/>
  <c r="J33" i="10"/>
  <c r="P33" i="2"/>
  <c r="M32" i="2"/>
  <c r="AG26" i="7" l="1"/>
  <c r="AF26" i="7"/>
  <c r="O36" i="1"/>
  <c r="BL43" i="5" a="1"/>
  <c r="BL43" i="5" s="1"/>
  <c r="BS27" i="8"/>
  <c r="BY27" i="8" s="1"/>
  <c r="BO27" i="8"/>
  <c r="BK27" i="8"/>
  <c r="BL27" i="8"/>
  <c r="BI27" i="8"/>
  <c r="BJ27" i="8"/>
  <c r="BG27" i="8"/>
  <c r="BH27" i="8"/>
  <c r="BF27" i="8"/>
  <c r="AP27" i="5"/>
  <c r="AC27" i="10"/>
  <c r="X27" i="10" s="1"/>
  <c r="AO27" i="5"/>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DA29" i="8" s="1"/>
  <c r="DB29" i="8"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F39" i="9"/>
  <c r="AI26" i="7"/>
  <c r="AQ26" i="5"/>
  <c r="CK26" i="8"/>
  <c r="AR26" i="5"/>
  <c r="CZ30" i="5"/>
  <c r="J29" i="2"/>
  <c r="BU27" i="8"/>
  <c r="BX27" i="8"/>
  <c r="CO27" i="8" s="1"/>
  <c r="CP27" i="8" s="1"/>
  <c r="CC27" i="8"/>
  <c r="CS27" i="8" s="1"/>
  <c r="BW27" i="8"/>
  <c r="CM27" i="8" s="1"/>
  <c r="BT27" i="8"/>
  <c r="BV27" i="8"/>
  <c r="O26" i="8"/>
  <c r="AC26" i="11"/>
  <c r="T26" i="8" s="1"/>
  <c r="AA26" i="11"/>
  <c r="AK26" i="1" s="1"/>
  <c r="Y26" i="11"/>
  <c r="AH26" i="1" s="1"/>
  <c r="N27" i="11"/>
  <c r="Z26" i="11"/>
  <c r="AB26" i="11"/>
  <c r="P26" i="8" s="1"/>
  <c r="AD26" i="11"/>
  <c r="AI26" i="1" s="1"/>
  <c r="AW28" i="5"/>
  <c r="AV28" i="5"/>
  <c r="AB28" i="8"/>
  <c r="BM28" i="8" s="1"/>
  <c r="BT28" i="5"/>
  <c r="AJ28" i="5"/>
  <c r="A28" i="10"/>
  <c r="AA28" i="10" s="1"/>
  <c r="B28" i="7"/>
  <c r="W28" i="8"/>
  <c r="AI28" i="5"/>
  <c r="B28" i="9"/>
  <c r="W28" i="9" s="1"/>
  <c r="A28" i="11"/>
  <c r="V29" i="2"/>
  <c r="AE27" i="7"/>
  <c r="Q27" i="7"/>
  <c r="C30" i="5"/>
  <c r="AC29" i="1"/>
  <c r="DA29" i="5"/>
  <c r="DG29" i="5" s="1" a="1"/>
  <c r="DG29" i="5" s="1"/>
  <c r="AB30" i="1"/>
  <c r="DI30" i="5"/>
  <c r="AE39" i="9"/>
  <c r="AI39" i="9"/>
  <c r="AC101" i="9"/>
  <c r="N15" i="1"/>
  <c r="S32" i="2"/>
  <c r="N33" i="2"/>
  <c r="R33" i="2"/>
  <c r="Q32" i="2"/>
  <c r="J34" i="10"/>
  <c r="P34" i="2"/>
  <c r="O34" i="2"/>
  <c r="M33" i="2"/>
  <c r="AG27" i="7" l="1"/>
  <c r="AF27" i="7"/>
  <c r="O37" i="1"/>
  <c r="BL44" i="5" a="1"/>
  <c r="BL44" i="5" s="1"/>
  <c r="BZ27" i="8"/>
  <c r="CQ27" i="8" s="1"/>
  <c r="CR27" i="8" s="1"/>
  <c r="BS28" i="8"/>
  <c r="BY28" i="8" s="1"/>
  <c r="BO28" i="8"/>
  <c r="BK28" i="8"/>
  <c r="BL28" i="8"/>
  <c r="BI28" i="8"/>
  <c r="BJ28" i="8"/>
  <c r="BG28" i="8"/>
  <c r="BH28" i="8"/>
  <c r="BF28" i="8"/>
  <c r="AP28" i="5"/>
  <c r="AC28" i="10"/>
  <c r="X28" i="10" s="1"/>
  <c r="AO28" i="5"/>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AV29" i="5"/>
  <c r="B29" i="9"/>
  <c r="W29" i="9" s="1"/>
  <c r="A29" i="10"/>
  <c r="AA29" i="10" s="1"/>
  <c r="BR29" i="8"/>
  <c r="CC29" i="8" s="1"/>
  <c r="CS29" i="8" s="1"/>
  <c r="BT29" i="5"/>
  <c r="AB29" i="8"/>
  <c r="BM29" i="8" s="1"/>
  <c r="CF29" i="8"/>
  <c r="A29" i="11"/>
  <c r="N29" i="11" s="1"/>
  <c r="AJ29" i="5"/>
  <c r="BE29" i="8"/>
  <c r="BN29" i="8" s="1"/>
  <c r="AI29" i="5"/>
  <c r="AW29" i="5"/>
  <c r="BD29" i="8"/>
  <c r="BP29" i="8" s="1"/>
  <c r="W29" i="8"/>
  <c r="B29" i="7"/>
  <c r="AE29" i="7" s="1"/>
  <c r="F30" i="5"/>
  <c r="DA30" i="8" s="1"/>
  <c r="DB30" i="8"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CD29" i="8"/>
  <c r="CT29" i="8" s="1"/>
  <c r="D29" i="9"/>
  <c r="CU27" i="8"/>
  <c r="O27" i="8"/>
  <c r="CD28" i="8"/>
  <c r="CT28" i="8" s="1"/>
  <c r="CB34" i="8"/>
  <c r="N28" i="7"/>
  <c r="AF40" i="9"/>
  <c r="AI27" i="7"/>
  <c r="B27" i="14"/>
  <c r="CK27" i="8"/>
  <c r="AR27" i="5"/>
  <c r="V30" i="2"/>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Q28" i="7"/>
  <c r="AB31" i="1"/>
  <c r="DI31" i="5"/>
  <c r="C31" i="5"/>
  <c r="AC30" i="1"/>
  <c r="DA30" i="5"/>
  <c r="DG30" i="5" s="1" a="1"/>
  <c r="DG30" i="5" s="1"/>
  <c r="AE40" i="9"/>
  <c r="AI40" i="9"/>
  <c r="AC102" i="9"/>
  <c r="N16" i="1"/>
  <c r="S33" i="2"/>
  <c r="N34" i="2"/>
  <c r="R34" i="2"/>
  <c r="Q33" i="2"/>
  <c r="M34" i="2"/>
  <c r="J35" i="10"/>
  <c r="O35" i="2"/>
  <c r="P35" i="2"/>
  <c r="AG28" i="7" l="1"/>
  <c r="AF28" i="7"/>
  <c r="AG29" i="7"/>
  <c r="AI29" i="7" s="1"/>
  <c r="AF29" i="7"/>
  <c r="O38" i="1"/>
  <c r="BL45" i="5" a="1"/>
  <c r="BL45" i="5" s="1"/>
  <c r="BZ28" i="8"/>
  <c r="CQ28" i="8" s="1"/>
  <c r="CR28" i="8" s="1"/>
  <c r="BO29" i="8"/>
  <c r="BK29" i="8"/>
  <c r="BL29" i="8"/>
  <c r="BI29" i="8"/>
  <c r="BJ29" i="8"/>
  <c r="BG29" i="8"/>
  <c r="BH29" i="8"/>
  <c r="BF29" i="8"/>
  <c r="AP29" i="5"/>
  <c r="AC29" i="10"/>
  <c r="X29" i="10" s="1"/>
  <c r="AO29" i="5"/>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CU29" i="8"/>
  <c r="BV29" i="8"/>
  <c r="BU29" i="8"/>
  <c r="BX29" i="8"/>
  <c r="CO29" i="8" s="1"/>
  <c r="CP29" i="8" s="1"/>
  <c r="BT29" i="8"/>
  <c r="CJ29" i="8" s="1"/>
  <c r="CN29" i="8" s="1"/>
  <c r="AA28" i="11"/>
  <c r="AK28" i="1" s="1"/>
  <c r="N29" i="7"/>
  <c r="Y28" i="11"/>
  <c r="AH28" i="1" s="1"/>
  <c r="Z28" i="11"/>
  <c r="AD28" i="11"/>
  <c r="AI28" i="1" s="1"/>
  <c r="AC28" i="11"/>
  <c r="T28" i="8" s="1"/>
  <c r="AB28" i="11"/>
  <c r="P28" i="8" s="1"/>
  <c r="Q29" i="7"/>
  <c r="BS29" i="8"/>
  <c r="BY29" i="8" s="1"/>
  <c r="D30" i="9"/>
  <c r="W30" i="8"/>
  <c r="AW30" i="5"/>
  <c r="A30" i="10"/>
  <c r="AA30" i="10" s="1"/>
  <c r="BD30" i="8"/>
  <c r="BP30" i="8" s="1"/>
  <c r="AJ30" i="5"/>
  <c r="B30" i="7"/>
  <c r="Q30" i="7" s="1"/>
  <c r="A30" i="11"/>
  <c r="AA29" i="11" s="1"/>
  <c r="AK29" i="1" s="1"/>
  <c r="BT30" i="5"/>
  <c r="CF30" i="8"/>
  <c r="B30" i="9"/>
  <c r="W30" i="9" s="1"/>
  <c r="AB30" i="8"/>
  <c r="BM30" i="8" s="1"/>
  <c r="AI30" i="5"/>
  <c r="AV30" i="5"/>
  <c r="BE30" i="8"/>
  <c r="BN30" i="8" s="1"/>
  <c r="E30" i="1"/>
  <c r="B32" i="5"/>
  <c r="BR30" i="8"/>
  <c r="CC30" i="8" s="1"/>
  <c r="CS30" i="8" s="1"/>
  <c r="F31" i="5"/>
  <c r="A31" i="10" s="1"/>
  <c r="AA31" i="10"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D30" i="8"/>
  <c r="CT30" i="8" s="1"/>
  <c r="CB35" i="8"/>
  <c r="AF41" i="9"/>
  <c r="AI28" i="7"/>
  <c r="B28" i="14"/>
  <c r="CK28" i="8"/>
  <c r="J31" i="2"/>
  <c r="V31" i="2"/>
  <c r="AR28" i="5"/>
  <c r="AQ28" i="5"/>
  <c r="CZ32" i="5"/>
  <c r="O28" i="8"/>
  <c r="C32" i="5"/>
  <c r="AC31" i="1"/>
  <c r="DA31" i="5"/>
  <c r="DG31" i="5" s="1" a="1"/>
  <c r="DG31" i="5" s="1"/>
  <c r="AB32" i="1"/>
  <c r="DI32" i="5"/>
  <c r="AE41" i="9"/>
  <c r="AI41" i="9"/>
  <c r="AC103" i="9"/>
  <c r="B29" i="14"/>
  <c r="N17" i="1"/>
  <c r="S34" i="2"/>
  <c r="N35" i="2"/>
  <c r="R35" i="2"/>
  <c r="Q34" i="2"/>
  <c r="P36" i="2"/>
  <c r="J36" i="10"/>
  <c r="M35" i="2"/>
  <c r="O36" i="2"/>
  <c r="O39" i="1" l="1"/>
  <c r="BL46" i="5" a="1"/>
  <c r="BL46" i="5" s="1"/>
  <c r="BO30" i="8"/>
  <c r="BK30" i="8"/>
  <c r="BL30" i="8"/>
  <c r="BI30" i="8"/>
  <c r="BJ30" i="8"/>
  <c r="BG30" i="8"/>
  <c r="BH30" i="8"/>
  <c r="BF30" i="8"/>
  <c r="AP30" i="5"/>
  <c r="AC30" i="10"/>
  <c r="X30" i="10" s="1"/>
  <c r="AO30" i="5"/>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CL29" i="8" s="1"/>
  <c r="BZ29" i="8"/>
  <c r="CQ29" i="8" s="1"/>
  <c r="CR29" i="8" s="1"/>
  <c r="O29" i="8"/>
  <c r="AR29" i="5"/>
  <c r="N30" i="7"/>
  <c r="DA31" i="8"/>
  <c r="DB31" i="8" s="1"/>
  <c r="D31" i="9"/>
  <c r="BS30" i="8"/>
  <c r="BY30" i="8" s="1"/>
  <c r="AC29" i="11"/>
  <c r="T29" i="8" s="1"/>
  <c r="Y29" i="11"/>
  <c r="AH29" i="1" s="1"/>
  <c r="Z29" i="11"/>
  <c r="BX30" i="8"/>
  <c r="CO30" i="8" s="1"/>
  <c r="CP30" i="8" s="1"/>
  <c r="BV30" i="8"/>
  <c r="AB29" i="11"/>
  <c r="P29" i="8" s="1"/>
  <c r="N30" i="11"/>
  <c r="BU30" i="8"/>
  <c r="BT30" i="8"/>
  <c r="CJ30" i="8" s="1"/>
  <c r="CN30" i="8" s="1"/>
  <c r="AD29" i="11"/>
  <c r="AI29" i="1" s="1"/>
  <c r="AE30" i="7"/>
  <c r="F32" i="5"/>
  <c r="BD32" i="8" s="1"/>
  <c r="BP32" i="8" s="1"/>
  <c r="AV31" i="5"/>
  <c r="B31" i="9"/>
  <c r="W31" i="9" s="1"/>
  <c r="A31" i="11"/>
  <c r="AC30" i="11" s="1"/>
  <c r="T30" i="8" s="1"/>
  <c r="BW30" i="8"/>
  <c r="CM30" i="8" s="1"/>
  <c r="CU30" i="8"/>
  <c r="AI31" i="5"/>
  <c r="AJ31" i="5"/>
  <c r="BT31" i="5"/>
  <c r="AB31" i="8"/>
  <c r="BM31" i="8" s="1"/>
  <c r="W31" i="8"/>
  <c r="CF31" i="8"/>
  <c r="E31" i="1"/>
  <c r="AW31" i="5"/>
  <c r="BE31" i="8"/>
  <c r="BN31" i="8" s="1"/>
  <c r="BD31" i="8"/>
  <c r="BP31" i="8" s="1"/>
  <c r="BR31" i="8"/>
  <c r="BX31" i="8" s="1"/>
  <c r="CO31" i="8" s="1"/>
  <c r="CP31" i="8" s="1"/>
  <c r="B31" i="7"/>
  <c r="AE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V32" i="2"/>
  <c r="CZ33" i="5"/>
  <c r="AB33" i="1"/>
  <c r="DI33" i="5"/>
  <c r="V33" i="2"/>
  <c r="AC32" i="1"/>
  <c r="DA32" i="5"/>
  <c r="DG32" i="5" s="1" a="1"/>
  <c r="DG32" i="5" s="1"/>
  <c r="AE42" i="9"/>
  <c r="AI42" i="9"/>
  <c r="AC104" i="9"/>
  <c r="N18" i="1"/>
  <c r="S35" i="2"/>
  <c r="N36" i="2"/>
  <c r="R36" i="2"/>
  <c r="Q35" i="2"/>
  <c r="M36" i="2"/>
  <c r="O37" i="2"/>
  <c r="J37" i="10"/>
  <c r="P37" i="2"/>
  <c r="AG30" i="7" l="1"/>
  <c r="AI30" i="7" s="1"/>
  <c r="AF30" i="7"/>
  <c r="AG31" i="7"/>
  <c r="AI31" i="7" s="1"/>
  <c r="AF31" i="7"/>
  <c r="O40" i="1"/>
  <c r="BL47" i="5" a="1"/>
  <c r="BL47" i="5" s="1"/>
  <c r="BO32" i="8"/>
  <c r="BS31" i="8"/>
  <c r="BY31" i="8" s="1"/>
  <c r="BO31" i="8"/>
  <c r="BK31" i="8"/>
  <c r="BL31" i="8"/>
  <c r="BI31" i="8"/>
  <c r="BJ31" i="8"/>
  <c r="BG31" i="8"/>
  <c r="BH31" i="8"/>
  <c r="BF31" i="8"/>
  <c r="AP31" i="5"/>
  <c r="AC31" i="10"/>
  <c r="X31" i="10" s="1"/>
  <c r="AO31" i="5"/>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O30" i="8"/>
  <c r="CK30" i="8"/>
  <c r="CL30" i="8" s="1"/>
  <c r="W32" i="8"/>
  <c r="N31" i="11"/>
  <c r="AV32" i="5"/>
  <c r="AB32" i="8"/>
  <c r="BM32" i="8" s="1"/>
  <c r="AD30" i="11"/>
  <c r="AI30" i="1" s="1"/>
  <c r="E32" i="1"/>
  <c r="A32" i="11"/>
  <c r="AD31" i="11" s="1"/>
  <c r="AI31" i="1" s="1"/>
  <c r="A32" i="10"/>
  <c r="AA32" i="10" s="1"/>
  <c r="BE32" i="8"/>
  <c r="BN32" i="8" s="1"/>
  <c r="BR32" i="8"/>
  <c r="BX32" i="8" s="1"/>
  <c r="CO32" i="8" s="1"/>
  <c r="CP32" i="8" s="1"/>
  <c r="AA30" i="11"/>
  <c r="AK30" i="1" s="1"/>
  <c r="AB30" i="11"/>
  <c r="P30" i="8" s="1"/>
  <c r="B32" i="9"/>
  <c r="W32" i="9" s="1"/>
  <c r="AI32" i="5"/>
  <c r="Y30" i="11"/>
  <c r="AH30" i="1" s="1"/>
  <c r="AJ32" i="5"/>
  <c r="AW32" i="5"/>
  <c r="B32" i="7"/>
  <c r="AE32" i="7" s="1"/>
  <c r="CF32" i="8"/>
  <c r="BT32" i="5"/>
  <c r="N31" i="7"/>
  <c r="CC31" i="8"/>
  <c r="CS31" i="8" s="1"/>
  <c r="Q31" i="7"/>
  <c r="BU31" i="8"/>
  <c r="BW31" i="8"/>
  <c r="CM31" i="8" s="1"/>
  <c r="D32" i="9"/>
  <c r="D33" i="9" s="1"/>
  <c r="BV31" i="8"/>
  <c r="BT31" i="8"/>
  <c r="CJ31" i="8" s="1"/>
  <c r="CN31" i="8" s="1"/>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BS32" i="8"/>
  <c r="BY32" i="8" s="1"/>
  <c r="AF43" i="9"/>
  <c r="C33" i="5"/>
  <c r="F33" i="5" s="1"/>
  <c r="J33" i="2"/>
  <c r="CZ34" i="5"/>
  <c r="V34" i="2"/>
  <c r="AC33" i="1"/>
  <c r="DA33" i="5"/>
  <c r="DG33" i="5" s="1" a="1"/>
  <c r="DG33" i="5" s="1"/>
  <c r="AB34" i="1"/>
  <c r="DI34" i="5"/>
  <c r="AE43" i="9"/>
  <c r="AI43" i="9"/>
  <c r="AC105" i="9"/>
  <c r="B31" i="14"/>
  <c r="N19" i="1"/>
  <c r="S36" i="2"/>
  <c r="N37" i="2"/>
  <c r="R37" i="2"/>
  <c r="Q36" i="2"/>
  <c r="J38" i="10"/>
  <c r="O38" i="2"/>
  <c r="P38" i="2"/>
  <c r="M37" i="2"/>
  <c r="AG32" i="7" l="1"/>
  <c r="AI32" i="7" s="1"/>
  <c r="AF32" i="7"/>
  <c r="O41" i="1"/>
  <c r="BL48" i="5" a="1"/>
  <c r="BL48" i="5" s="1"/>
  <c r="BZ31" i="8"/>
  <c r="CQ31" i="8" s="1"/>
  <c r="CR31" i="8" s="1"/>
  <c r="BK32" i="8"/>
  <c r="BL32" i="8"/>
  <c r="AP32" i="5"/>
  <c r="BI32" i="8"/>
  <c r="BJ32" i="8"/>
  <c r="BG32" i="8"/>
  <c r="BH32" i="8"/>
  <c r="BF32" i="8"/>
  <c r="AC32" i="10"/>
  <c r="X32" i="10" s="1"/>
  <c r="AO32" i="5"/>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CJ32" i="8" s="1"/>
  <c r="CN32" i="8" s="1"/>
  <c r="O31"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CL31" i="8" s="1"/>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BZ32" i="8"/>
  <c r="CQ32" i="8" s="1"/>
  <c r="CR32" i="8" s="1"/>
  <c r="CF33" i="8"/>
  <c r="CB38" i="8"/>
  <c r="BR33" i="8"/>
  <c r="BE33" i="8"/>
  <c r="BN33" i="8" s="1"/>
  <c r="AJ33" i="5"/>
  <c r="BD33" i="8"/>
  <c r="BP33" i="8" s="1"/>
  <c r="AF44" i="9"/>
  <c r="B33" i="9"/>
  <c r="W33" i="9" s="1"/>
  <c r="AW33" i="5"/>
  <c r="B33" i="7"/>
  <c r="A33" i="10"/>
  <c r="AA33" i="10" s="1"/>
  <c r="AB33" i="8"/>
  <c r="BM33" i="8" s="1"/>
  <c r="E33" i="1"/>
  <c r="BT33" i="5"/>
  <c r="AV33" i="5"/>
  <c r="A33" i="11"/>
  <c r="W33" i="8"/>
  <c r="AI33" i="5"/>
  <c r="J34" i="2"/>
  <c r="CZ35" i="5"/>
  <c r="C34" i="5"/>
  <c r="F34" i="5" s="1"/>
  <c r="DI35" i="5"/>
  <c r="AB35" i="1"/>
  <c r="C35" i="5"/>
  <c r="AC34" i="1"/>
  <c r="DA34" i="5"/>
  <c r="DG34" i="5" s="1" a="1"/>
  <c r="DG34" i="5" s="1"/>
  <c r="AE44" i="9"/>
  <c r="AI44" i="9"/>
  <c r="AC106" i="9"/>
  <c r="B32" i="14"/>
  <c r="N20" i="1"/>
  <c r="S37" i="2"/>
  <c r="N38" i="2"/>
  <c r="R38" i="2"/>
  <c r="Q37" i="2"/>
  <c r="P39" i="2"/>
  <c r="M38" i="2"/>
  <c r="J39" i="10"/>
  <c r="O39" i="2"/>
  <c r="O42" i="1" l="1"/>
  <c r="BL49" i="5" a="1"/>
  <c r="BL49" i="5" s="1"/>
  <c r="AP33" i="5"/>
  <c r="BO33" i="8"/>
  <c r="BK33" i="8"/>
  <c r="BL33" i="8"/>
  <c r="BI33" i="8"/>
  <c r="BJ33" i="8"/>
  <c r="BG33" i="8"/>
  <c r="BH33" i="8"/>
  <c r="BF33" i="8"/>
  <c r="AC33" i="10"/>
  <c r="X33" i="10" s="1"/>
  <c r="AO33" i="5"/>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L32" i="8" s="1"/>
  <c r="O32" i="8"/>
  <c r="CU32" i="8"/>
  <c r="CY31" i="8"/>
  <c r="G31" i="1" s="1"/>
  <c r="M31" i="8" s="1"/>
  <c r="AQ32" i="5"/>
  <c r="AR32" i="5"/>
  <c r="F35" i="5"/>
  <c r="DA35" i="8" s="1"/>
  <c r="DB35" i="8"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F45" i="9"/>
  <c r="AD32" i="11"/>
  <c r="AI32" i="1" s="1"/>
  <c r="Y32" i="11"/>
  <c r="AH32" i="1" s="1"/>
  <c r="Z32" i="11"/>
  <c r="AA32" i="11"/>
  <c r="AK32" i="1" s="1"/>
  <c r="AB32" i="11"/>
  <c r="P32" i="8" s="1"/>
  <c r="AC32" i="11"/>
  <c r="T32" i="8" s="1"/>
  <c r="N33" i="11"/>
  <c r="Q33" i="7"/>
  <c r="AE33" i="7"/>
  <c r="BX33" i="8"/>
  <c r="CO33" i="8" s="1"/>
  <c r="CP33" i="8" s="1"/>
  <c r="BT33" i="8"/>
  <c r="BU33" i="8"/>
  <c r="CC33" i="8"/>
  <c r="CS33" i="8" s="1"/>
  <c r="BV33" i="8"/>
  <c r="BW33" i="8"/>
  <c r="CM33" i="8" s="1"/>
  <c r="CZ36" i="5"/>
  <c r="AW34" i="5"/>
  <c r="AV34" i="5"/>
  <c r="A34" i="10"/>
  <c r="AA34" i="10" s="1"/>
  <c r="B34" i="7"/>
  <c r="E34" i="1"/>
  <c r="W34" i="8"/>
  <c r="B34" i="9"/>
  <c r="W34" i="9" s="1"/>
  <c r="AJ34" i="5"/>
  <c r="AI34" i="5"/>
  <c r="A34" i="11"/>
  <c r="AB34" i="8"/>
  <c r="BM34" i="8" s="1"/>
  <c r="BT34" i="5"/>
  <c r="J35" i="2"/>
  <c r="V35" i="2"/>
  <c r="V36" i="2"/>
  <c r="AC35" i="1"/>
  <c r="DA35" i="5"/>
  <c r="DG35" i="5" s="1" a="1"/>
  <c r="DG35" i="5" s="1"/>
  <c r="AB36" i="1"/>
  <c r="DI36" i="5"/>
  <c r="AE45" i="9"/>
  <c r="AI45" i="9"/>
  <c r="AC107" i="9"/>
  <c r="N21" i="1"/>
  <c r="S38" i="2"/>
  <c r="N39" i="2"/>
  <c r="R39" i="2"/>
  <c r="Q38" i="2"/>
  <c r="J40" i="10"/>
  <c r="P40" i="2"/>
  <c r="O40" i="2"/>
  <c r="M39" i="2"/>
  <c r="AG33" i="7" l="1"/>
  <c r="AF33" i="7"/>
  <c r="O43" i="1"/>
  <c r="BL50" i="5" a="1"/>
  <c r="BL50" i="5" s="1"/>
  <c r="AP34" i="5"/>
  <c r="BS34" i="8"/>
  <c r="BY34" i="8" s="1"/>
  <c r="BO34" i="8"/>
  <c r="BK34" i="8"/>
  <c r="BL34" i="8"/>
  <c r="BI34" i="8"/>
  <c r="BJ34" i="8"/>
  <c r="BG34" i="8"/>
  <c r="BH34" i="8"/>
  <c r="BF34" i="8"/>
  <c r="AC34" i="10"/>
  <c r="X34" i="10" s="1"/>
  <c r="AO34" i="5"/>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CY32" i="8"/>
  <c r="G32" i="1" s="1"/>
  <c r="M32" i="8" s="1"/>
  <c r="A35" i="11"/>
  <c r="N35" i="11" s="1"/>
  <c r="AI35" i="5"/>
  <c r="B35" i="9"/>
  <c r="W35" i="9" s="1"/>
  <c r="AV35" i="5"/>
  <c r="E35" i="1"/>
  <c r="W35" i="8"/>
  <c r="A35" i="10"/>
  <c r="AA35" i="10" s="1"/>
  <c r="AB35" i="8"/>
  <c r="BM35" i="8" s="1"/>
  <c r="BD35" i="8"/>
  <c r="BP35" i="8" s="1"/>
  <c r="CF35" i="8"/>
  <c r="BE35" i="8"/>
  <c r="BN35" i="8" s="1"/>
  <c r="BR35" i="8"/>
  <c r="BW35" i="8" s="1"/>
  <c r="CM35" i="8" s="1"/>
  <c r="B35" i="7"/>
  <c r="AE35" i="7" s="1"/>
  <c r="AW35" i="5"/>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5" i="8"/>
  <c r="CT35" i="8" s="1"/>
  <c r="CD34" i="8"/>
  <c r="CT34" i="8" s="1"/>
  <c r="CB40" i="8"/>
  <c r="AQ33" i="5"/>
  <c r="AR33" i="5"/>
  <c r="BY33" i="8"/>
  <c r="CQ33" i="8" s="1"/>
  <c r="CR33" i="8" s="1"/>
  <c r="N34" i="7"/>
  <c r="AF46" i="9"/>
  <c r="AI33" i="7"/>
  <c r="CK33" i="8"/>
  <c r="B33" i="14"/>
  <c r="C36" i="5"/>
  <c r="F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Q34" i="7"/>
  <c r="AB37" i="1"/>
  <c r="DI37" i="5"/>
  <c r="C37" i="5"/>
  <c r="AC36" i="1"/>
  <c r="DA36" i="5"/>
  <c r="DG36" i="5" s="1" a="1"/>
  <c r="DG36" i="5" s="1"/>
  <c r="AE46" i="9"/>
  <c r="AI46" i="9"/>
  <c r="AC108" i="9"/>
  <c r="N22" i="1"/>
  <c r="S39" i="2"/>
  <c r="N40" i="2"/>
  <c r="R40" i="2"/>
  <c r="Q39" i="2"/>
  <c r="O41" i="2"/>
  <c r="P41" i="2"/>
  <c r="J41" i="10"/>
  <c r="M40" i="2"/>
  <c r="AG35" i="7" l="1"/>
  <c r="AI35" i="7" s="1"/>
  <c r="AF35" i="7"/>
  <c r="AG34" i="7"/>
  <c r="AI34" i="7" s="1"/>
  <c r="AF34" i="7"/>
  <c r="O44" i="1"/>
  <c r="BL51" i="5" a="1"/>
  <c r="BL51" i="5" s="1"/>
  <c r="BZ34" i="8"/>
  <c r="CQ34" i="8" s="1"/>
  <c r="CR34" i="8" s="1"/>
  <c r="BO35" i="8"/>
  <c r="BK35" i="8"/>
  <c r="BL35" i="8"/>
  <c r="BI35" i="8"/>
  <c r="BJ35" i="8"/>
  <c r="BG35" i="8"/>
  <c r="BH35" i="8"/>
  <c r="BF35" i="8"/>
  <c r="AP35" i="5"/>
  <c r="AC35" i="10"/>
  <c r="X35" i="10" s="1"/>
  <c r="AO35" i="5"/>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CJ35" i="8" s="1"/>
  <c r="CN35" i="8" s="1"/>
  <c r="BU35" i="8"/>
  <c r="CC35" i="8"/>
  <c r="CS35" i="8" s="1"/>
  <c r="CU35" i="8" s="1"/>
  <c r="AB34" i="11"/>
  <c r="P34" i="8" s="1"/>
  <c r="D36" i="9"/>
  <c r="AC34" i="11"/>
  <c r="T34" i="8" s="1"/>
  <c r="Y34" i="11"/>
  <c r="AH34" i="1" s="1"/>
  <c r="Z34" i="11"/>
  <c r="N35" i="7"/>
  <c r="Q35" i="7"/>
  <c r="BV35" i="8"/>
  <c r="F37" i="5"/>
  <c r="A37" i="11"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Y33" i="8" s="1"/>
  <c r="G33" i="1" s="1"/>
  <c r="M33" i="8" s="1"/>
  <c r="CJ34" i="8"/>
  <c r="CN34" i="8" s="1"/>
  <c r="CU34" i="8"/>
  <c r="DA36" i="8"/>
  <c r="DB36" i="8" s="1"/>
  <c r="CF36" i="8"/>
  <c r="CB41" i="8"/>
  <c r="O33" i="8"/>
  <c r="BR36" i="8"/>
  <c r="BD36" i="8"/>
  <c r="BP36" i="8" s="1"/>
  <c r="BE36" i="8"/>
  <c r="BN36" i="8" s="1"/>
  <c r="AF47" i="9"/>
  <c r="B34" i="14"/>
  <c r="CK34" i="8"/>
  <c r="AQ34" i="5"/>
  <c r="AR34" i="5"/>
  <c r="J37" i="2"/>
  <c r="V37" i="2"/>
  <c r="O34" i="8"/>
  <c r="CZ38" i="5"/>
  <c r="AW36" i="5"/>
  <c r="AI36" i="5"/>
  <c r="BT36" i="5"/>
  <c r="AB36" i="8"/>
  <c r="BM36" i="8" s="1"/>
  <c r="A36" i="11"/>
  <c r="A36" i="10"/>
  <c r="AA36" i="10" s="1"/>
  <c r="B36" i="7"/>
  <c r="W36" i="8"/>
  <c r="E36" i="1"/>
  <c r="AV36" i="5"/>
  <c r="B36" i="9"/>
  <c r="W36" i="9" s="1"/>
  <c r="AJ36" i="5"/>
  <c r="J38" i="2"/>
  <c r="AC37" i="1"/>
  <c r="DA37" i="5"/>
  <c r="DG37" i="5" s="1" a="1"/>
  <c r="DG37" i="5" s="1"/>
  <c r="AB38" i="1"/>
  <c r="DI38" i="5"/>
  <c r="AE47" i="9"/>
  <c r="AI47" i="9"/>
  <c r="AC109" i="9"/>
  <c r="B35" i="14"/>
  <c r="N23" i="1"/>
  <c r="S40" i="2"/>
  <c r="N41" i="2"/>
  <c r="R41" i="2"/>
  <c r="Q40" i="2"/>
  <c r="J42" i="10"/>
  <c r="O42" i="2"/>
  <c r="M41" i="2"/>
  <c r="P42" i="2"/>
  <c r="O45" i="1" l="1"/>
  <c r="BL52" i="5" a="1"/>
  <c r="BL52" i="5" s="1"/>
  <c r="BS36" i="8"/>
  <c r="BY36" i="8" s="1"/>
  <c r="BO36" i="8"/>
  <c r="BK36" i="8"/>
  <c r="BL36" i="8"/>
  <c r="BI36" i="8"/>
  <c r="BJ36" i="8"/>
  <c r="AN36" i="5"/>
  <c r="BG36" i="8"/>
  <c r="BH36" i="8"/>
  <c r="BF36" i="8"/>
  <c r="AP36" i="5"/>
  <c r="AC36" i="10"/>
  <c r="X36" i="10" s="1"/>
  <c r="AO36" i="5"/>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CL35" i="8" s="1"/>
  <c r="AI37" i="5"/>
  <c r="B37" i="7"/>
  <c r="AE37" i="7" s="1"/>
  <c r="AB37" i="8"/>
  <c r="BM37" i="8" s="1"/>
  <c r="W37" i="8"/>
  <c r="E37" i="1"/>
  <c r="BE37" i="8"/>
  <c r="BN37" i="8" s="1"/>
  <c r="BR37" i="8"/>
  <c r="CC37" i="8" s="1"/>
  <c r="CS37" i="8" s="1"/>
  <c r="BT37" i="5"/>
  <c r="AJ37" i="5"/>
  <c r="BD37" i="8"/>
  <c r="BP37" i="8" s="1"/>
  <c r="AV37" i="5"/>
  <c r="A37" i="10"/>
  <c r="AA37" i="10" s="1"/>
  <c r="B37" i="9"/>
  <c r="W37" i="9" s="1"/>
  <c r="AW37" i="5"/>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F48" i="9"/>
  <c r="AC36" i="11"/>
  <c r="T36" i="8" s="1"/>
  <c r="AB36" i="11"/>
  <c r="P36" i="8" s="1"/>
  <c r="AD36" i="11"/>
  <c r="AI36" i="1" s="1"/>
  <c r="N37" i="11"/>
  <c r="Z36" i="11"/>
  <c r="Y36" i="11"/>
  <c r="AH36" i="1" s="1"/>
  <c r="AC35" i="11"/>
  <c r="T35" i="8" s="1"/>
  <c r="Y35" i="11"/>
  <c r="AH35" i="1" s="1"/>
  <c r="AD35" i="11"/>
  <c r="AI35" i="1" s="1"/>
  <c r="Z35" i="11"/>
  <c r="AA35" i="11"/>
  <c r="AK35" i="1" s="1"/>
  <c r="N36" i="11"/>
  <c r="AB35" i="11"/>
  <c r="P35" i="8" s="1"/>
  <c r="C38" i="5"/>
  <c r="F38" i="5" s="1"/>
  <c r="CZ39" i="5"/>
  <c r="V38" i="2"/>
  <c r="AA36" i="11"/>
  <c r="AK36" i="1" s="1"/>
  <c r="BX36" i="8"/>
  <c r="CO36" i="8" s="1"/>
  <c r="CP36" i="8" s="1"/>
  <c r="CC36" i="8"/>
  <c r="CS36" i="8" s="1"/>
  <c r="BV36" i="8"/>
  <c r="BW36" i="8"/>
  <c r="CM36" i="8" s="1"/>
  <c r="BT36" i="8"/>
  <c r="BU36" i="8"/>
  <c r="AE36" i="7"/>
  <c r="Q36" i="7"/>
  <c r="AB39" i="1"/>
  <c r="DI39" i="5"/>
  <c r="C39" i="5"/>
  <c r="AC38" i="1"/>
  <c r="DA38" i="5"/>
  <c r="DG38" i="5" s="1" a="1"/>
  <c r="DG38" i="5" s="1"/>
  <c r="AE48" i="9"/>
  <c r="AI48" i="9"/>
  <c r="AC110" i="9"/>
  <c r="N24" i="1"/>
  <c r="S41" i="2"/>
  <c r="N42" i="2"/>
  <c r="R42" i="2"/>
  <c r="Q41" i="2"/>
  <c r="O43" i="2"/>
  <c r="J43" i="10"/>
  <c r="P43" i="2"/>
  <c r="M42" i="2"/>
  <c r="AG36" i="7" l="1"/>
  <c r="AF36" i="7"/>
  <c r="AG37" i="7"/>
  <c r="AI37" i="7" s="1"/>
  <c r="AF37" i="7"/>
  <c r="O46" i="1"/>
  <c r="BL53" i="5" a="1"/>
  <c r="BL53" i="5" s="1"/>
  <c r="BZ36" i="8"/>
  <c r="CQ36" i="8" s="1"/>
  <c r="CR36" i="8" s="1"/>
  <c r="BO37" i="8"/>
  <c r="BK37" i="8"/>
  <c r="BL37" i="8"/>
  <c r="BI37" i="8"/>
  <c r="BJ37" i="8"/>
  <c r="BG37" i="8"/>
  <c r="BH37" i="8"/>
  <c r="BF37" i="8"/>
  <c r="AP37" i="5"/>
  <c r="AN37" i="5"/>
  <c r="AC37" i="10"/>
  <c r="X37" i="10" s="1"/>
  <c r="AO37" i="5"/>
  <c r="AM37" i="5"/>
  <c r="AH41" i="11"/>
  <c r="AK41" i="11"/>
  <c r="AS41" i="5"/>
  <c r="E45" i="8"/>
  <c r="CA113" i="8"/>
  <c r="CQ35" i="8"/>
  <c r="CR35" i="8" s="1"/>
  <c r="CY35" i="8" s="1"/>
  <c r="G35" i="1" s="1"/>
  <c r="M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CJ37" i="8" s="1"/>
  <c r="CN37" i="8" s="1"/>
  <c r="Q37" i="7"/>
  <c r="N37" i="7"/>
  <c r="BS37" i="8"/>
  <c r="BY37" i="8" s="1"/>
  <c r="D38" i="9"/>
  <c r="CD37" i="8"/>
  <c r="CT37" i="8" s="1"/>
  <c r="CU37" i="8" s="1"/>
  <c r="F39" i="5"/>
  <c r="BD39" i="8" s="1"/>
  <c r="BP39" i="8"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F49" i="9"/>
  <c r="AI36" i="7"/>
  <c r="CK36" i="8"/>
  <c r="AQ36" i="5"/>
  <c r="CZ40" i="5"/>
  <c r="AW38" i="5"/>
  <c r="W38" i="8"/>
  <c r="E38" i="1"/>
  <c r="AI38" i="5"/>
  <c r="B38" i="9"/>
  <c r="W38" i="9" s="1"/>
  <c r="A38" i="11"/>
  <c r="AV38" i="5"/>
  <c r="AB38" i="8"/>
  <c r="BM38" i="8" s="1"/>
  <c r="BT38" i="5"/>
  <c r="AJ38" i="5"/>
  <c r="A38" i="10"/>
  <c r="AA38" i="10" s="1"/>
  <c r="B38" i="7"/>
  <c r="O36" i="8"/>
  <c r="J39" i="2"/>
  <c r="V39" i="2"/>
  <c r="AR36" i="5"/>
  <c r="C40" i="5"/>
  <c r="AC39" i="1"/>
  <c r="DA39" i="5"/>
  <c r="DG39" i="5" s="1" a="1"/>
  <c r="DG39" i="5" s="1"/>
  <c r="AB40" i="1"/>
  <c r="DI40" i="5"/>
  <c r="AE49" i="9"/>
  <c r="AI49" i="9"/>
  <c r="AC111" i="9"/>
  <c r="N25" i="1"/>
  <c r="S42" i="2"/>
  <c r="N43" i="2"/>
  <c r="R43" i="2"/>
  <c r="Q42" i="2"/>
  <c r="M43" i="2"/>
  <c r="P44" i="2"/>
  <c r="J44" i="10"/>
  <c r="O44" i="2"/>
  <c r="O47" i="1" l="1"/>
  <c r="BL54" i="5" a="1"/>
  <c r="BL54" i="5" s="1"/>
  <c r="BO38" i="8"/>
  <c r="BP38" i="8"/>
  <c r="BS39" i="8"/>
  <c r="BY39" i="8" s="1"/>
  <c r="BO39" i="8"/>
  <c r="BK38" i="8"/>
  <c r="BL38" i="8"/>
  <c r="BI38" i="8"/>
  <c r="BJ38" i="8"/>
  <c r="BG38" i="8"/>
  <c r="BH38" i="8"/>
  <c r="BF38" i="8"/>
  <c r="AP38" i="5"/>
  <c r="AC38" i="10"/>
  <c r="X38" i="10" s="1"/>
  <c r="AO38" i="5"/>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CL37" i="8" s="1"/>
  <c r="B39" i="7"/>
  <c r="Q39" i="7" s="1"/>
  <c r="AR37" i="5"/>
  <c r="O37" i="8"/>
  <c r="BZ37" i="8"/>
  <c r="CQ37" i="8" s="1"/>
  <c r="CR37" i="8" s="1"/>
  <c r="AI39" i="5"/>
  <c r="E39" i="1"/>
  <c r="BT39" i="5"/>
  <c r="A39" i="10"/>
  <c r="AA39" i="10" s="1"/>
  <c r="D39" i="9"/>
  <c r="D40" i="9" s="1"/>
  <c r="B39" i="9"/>
  <c r="W39" i="9" s="1"/>
  <c r="AB39" i="8"/>
  <c r="BM39" i="8" s="1"/>
  <c r="CF39" i="8"/>
  <c r="DA39" i="8"/>
  <c r="DB39" i="8" s="1"/>
  <c r="AJ39" i="5"/>
  <c r="A39" i="11"/>
  <c r="N39" i="11" s="1"/>
  <c r="W39" i="8"/>
  <c r="AW39" i="5"/>
  <c r="BE39" i="8"/>
  <c r="BN39" i="8" s="1"/>
  <c r="BR39" i="8"/>
  <c r="CC39" i="8" s="1"/>
  <c r="CS39" i="8" s="1"/>
  <c r="AV39" i="5"/>
  <c r="F40" i="5"/>
  <c r="BE40" i="8" s="1"/>
  <c r="BN40" i="8"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Q38" i="7"/>
  <c r="J40" i="2"/>
  <c r="V40" i="2"/>
  <c r="CZ41" i="5"/>
  <c r="AB41" i="1"/>
  <c r="DI41" i="5"/>
  <c r="V41" i="2"/>
  <c r="AC40" i="1"/>
  <c r="DA40" i="5"/>
  <c r="DG40" i="5" s="1" a="1"/>
  <c r="DG40" i="5" s="1"/>
  <c r="AE50" i="9"/>
  <c r="AI50" i="9"/>
  <c r="AC112" i="9"/>
  <c r="N26" i="1"/>
  <c r="S43" i="2"/>
  <c r="N44" i="2"/>
  <c r="R44" i="2"/>
  <c r="Q43" i="2"/>
  <c r="O45" i="2"/>
  <c r="J45" i="10"/>
  <c r="P45" i="2"/>
  <c r="M44" i="2"/>
  <c r="AG38" i="7" l="1"/>
  <c r="AF38" i="7"/>
  <c r="O48" i="1"/>
  <c r="BL55" i="5" a="1"/>
  <c r="BL55" i="5" s="1"/>
  <c r="BZ39" i="8"/>
  <c r="CQ39" i="8" s="1"/>
  <c r="CR39" i="8" s="1"/>
  <c r="AN39" i="5"/>
  <c r="BK39" i="8"/>
  <c r="BL39" i="8"/>
  <c r="BI39" i="8"/>
  <c r="BJ39" i="8"/>
  <c r="BG39" i="8"/>
  <c r="BH39" i="8"/>
  <c r="BF39" i="8"/>
  <c r="AP39" i="5"/>
  <c r="AC39" i="10"/>
  <c r="X39" i="10" s="1"/>
  <c r="AO39" i="5"/>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A38" i="11"/>
  <c r="AK38" i="1" s="1"/>
  <c r="AB38" i="11"/>
  <c r="P38" i="8" s="1"/>
  <c r="Y38" i="11"/>
  <c r="AH38" i="1" s="1"/>
  <c r="Z38" i="11"/>
  <c r="AE39" i="7"/>
  <c r="W40" i="8"/>
  <c r="CD39" i="8"/>
  <c r="CT39" i="8" s="1"/>
  <c r="CU39" i="8" s="1"/>
  <c r="CY37" i="8"/>
  <c r="G37" i="1" s="1"/>
  <c r="M37" i="8" s="1"/>
  <c r="AB40" i="8"/>
  <c r="BM40" i="8" s="1"/>
  <c r="BT39" i="8"/>
  <c r="CJ39" i="8" s="1"/>
  <c r="CN39" i="8" s="1"/>
  <c r="BX39" i="8"/>
  <c r="CO39" i="8" s="1"/>
  <c r="CP39" i="8" s="1"/>
  <c r="BU39" i="8"/>
  <c r="BV39" i="8"/>
  <c r="BW39" i="8"/>
  <c r="CM39" i="8" s="1"/>
  <c r="N39" i="7"/>
  <c r="E40" i="1"/>
  <c r="BD40" i="8"/>
  <c r="BP40" i="8" s="1"/>
  <c r="BT40" i="5"/>
  <c r="CU38" i="8"/>
  <c r="B40" i="9"/>
  <c r="W40" i="9" s="1"/>
  <c r="A40" i="11"/>
  <c r="AD39" i="11" s="1"/>
  <c r="AI39" i="1" s="1"/>
  <c r="DA40" i="8"/>
  <c r="DB40" i="8" s="1"/>
  <c r="CF40" i="8"/>
  <c r="AI40" i="5"/>
  <c r="B40" i="7"/>
  <c r="Q40" i="7" s="1"/>
  <c r="AW40" i="5"/>
  <c r="A40" i="10"/>
  <c r="AA40" i="10" s="1"/>
  <c r="AV40" i="5"/>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F51" i="9"/>
  <c r="CK38" i="8"/>
  <c r="O38" i="8"/>
  <c r="AQ38" i="5"/>
  <c r="CZ42" i="5"/>
  <c r="AR38" i="5"/>
  <c r="J41" i="2"/>
  <c r="C41" i="5"/>
  <c r="F41" i="5" s="1"/>
  <c r="B38" i="14"/>
  <c r="AI38" i="7"/>
  <c r="J42" i="2"/>
  <c r="AC41" i="1"/>
  <c r="DA41" i="5"/>
  <c r="DG41" i="5" s="1" a="1"/>
  <c r="DG41" i="5" s="1"/>
  <c r="AB42" i="1"/>
  <c r="DI42" i="5"/>
  <c r="AE51" i="9"/>
  <c r="AI51" i="9"/>
  <c r="AC113" i="9"/>
  <c r="N27" i="1"/>
  <c r="S44" i="2"/>
  <c r="N45" i="2"/>
  <c r="R45" i="2"/>
  <c r="Q44" i="2"/>
  <c r="P46" i="2"/>
  <c r="O46" i="2"/>
  <c r="J46" i="10"/>
  <c r="M45" i="2"/>
  <c r="AG39" i="7" l="1"/>
  <c r="AI39" i="7" s="1"/>
  <c r="AF39" i="7"/>
  <c r="O49" i="1"/>
  <c r="BL56" i="5" a="1"/>
  <c r="BL56" i="5" s="1"/>
  <c r="BO40" i="8"/>
  <c r="BK40" i="8"/>
  <c r="BL40" i="8"/>
  <c r="BI40" i="8"/>
  <c r="BJ40" i="8"/>
  <c r="BG40" i="8"/>
  <c r="BH40" i="8"/>
  <c r="BF40" i="8"/>
  <c r="AP40" i="5"/>
  <c r="AC40" i="10"/>
  <c r="X40" i="10" s="1"/>
  <c r="AO40" i="5"/>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O39" i="8"/>
  <c r="AQ39" i="5"/>
  <c r="B39" i="14"/>
  <c r="CK39" i="8"/>
  <c r="CL39" i="8" s="1"/>
  <c r="CY39" i="8" s="1"/>
  <c r="G39" i="1" s="1"/>
  <c r="M39" i="8" s="1"/>
  <c r="BV40" i="8"/>
  <c r="BW40" i="8"/>
  <c r="CM40" i="8" s="1"/>
  <c r="AR39" i="5"/>
  <c r="AE40" i="7"/>
  <c r="D41" i="9"/>
  <c r="Y39" i="11"/>
  <c r="AH39" i="1" s="1"/>
  <c r="N40" i="7"/>
  <c r="BS40" i="8"/>
  <c r="BY40" i="8" s="1"/>
  <c r="Z39" i="11"/>
  <c r="BU40" i="8"/>
  <c r="N40" i="11"/>
  <c r="AA39" i="11"/>
  <c r="AK39" i="1" s="1"/>
  <c r="BT40" i="8"/>
  <c r="CJ40" i="8" s="1"/>
  <c r="CN40" i="8" s="1"/>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F52" i="9"/>
  <c r="V42" i="2"/>
  <c r="C42" i="5"/>
  <c r="F42" i="5" s="1"/>
  <c r="CZ43" i="5"/>
  <c r="AW41" i="5"/>
  <c r="A41" i="11"/>
  <c r="BT41" i="5"/>
  <c r="AB41" i="8"/>
  <c r="BM41" i="8" s="1"/>
  <c r="AV41" i="5"/>
  <c r="A41" i="10"/>
  <c r="AA41" i="10" s="1"/>
  <c r="B41" i="7"/>
  <c r="AJ41" i="5"/>
  <c r="W41" i="8"/>
  <c r="E41" i="1"/>
  <c r="AI41" i="5"/>
  <c r="B41" i="9"/>
  <c r="W41" i="9" s="1"/>
  <c r="AB43" i="1"/>
  <c r="DI43" i="5"/>
  <c r="V43" i="2"/>
  <c r="AC42" i="1"/>
  <c r="DA42" i="5"/>
  <c r="DG42" i="5" s="1" a="1"/>
  <c r="DG42" i="5" s="1"/>
  <c r="AE52" i="9"/>
  <c r="AI52" i="9"/>
  <c r="AC114" i="9"/>
  <c r="N28" i="1"/>
  <c r="S45" i="2"/>
  <c r="N46" i="2"/>
  <c r="R46" i="2"/>
  <c r="Q45" i="2"/>
  <c r="M46" i="2"/>
  <c r="J47" i="10"/>
  <c r="O47" i="2"/>
  <c r="P47" i="2"/>
  <c r="AG40" i="7" l="1"/>
  <c r="AI40" i="7" s="1"/>
  <c r="AF40" i="7"/>
  <c r="O50" i="1"/>
  <c r="BL57" i="5" a="1"/>
  <c r="BL57" i="5" s="1"/>
  <c r="AP41" i="5"/>
  <c r="BO41" i="8"/>
  <c r="BK41" i="8"/>
  <c r="BL41" i="8"/>
  <c r="BI41" i="8"/>
  <c r="BJ41" i="8"/>
  <c r="BG41" i="8"/>
  <c r="BH41" i="8"/>
  <c r="BF41" i="8"/>
  <c r="AC41" i="10"/>
  <c r="X41" i="10" s="1"/>
  <c r="AO41" i="5"/>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O40" i="8"/>
  <c r="CK40" i="8"/>
  <c r="CL40" i="8" s="1"/>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F53" i="9"/>
  <c r="AE41" i="7"/>
  <c r="Q41" i="7"/>
  <c r="BV41" i="8"/>
  <c r="BW41" i="8"/>
  <c r="CM41" i="8" s="1"/>
  <c r="BT41" i="8"/>
  <c r="BU41" i="8"/>
  <c r="BX41" i="8"/>
  <c r="CO41" i="8" s="1"/>
  <c r="CP41" i="8" s="1"/>
  <c r="CC41" i="8"/>
  <c r="CS41" i="8" s="1"/>
  <c r="J43" i="2"/>
  <c r="C43" i="5"/>
  <c r="F43" i="5" s="1"/>
  <c r="AW42" i="5"/>
  <c r="A42" i="11"/>
  <c r="AB42" i="8"/>
  <c r="BM42" i="8" s="1"/>
  <c r="BT42" i="5"/>
  <c r="AV42" i="5"/>
  <c r="A42" i="10"/>
  <c r="AA42" i="10" s="1"/>
  <c r="B42" i="7"/>
  <c r="AJ42" i="5"/>
  <c r="W42" i="8"/>
  <c r="E42" i="1"/>
  <c r="AI42" i="5"/>
  <c r="B42" i="9"/>
  <c r="W42" i="9" s="1"/>
  <c r="CZ44" i="5"/>
  <c r="AD40" i="11"/>
  <c r="AI40" i="1" s="1"/>
  <c r="Z40" i="11"/>
  <c r="AC40" i="11"/>
  <c r="T40" i="8" s="1"/>
  <c r="N41" i="11"/>
  <c r="AB40" i="11"/>
  <c r="P40" i="8" s="1"/>
  <c r="AA40" i="11"/>
  <c r="AK40" i="1" s="1"/>
  <c r="Y40" i="11"/>
  <c r="AH40" i="1" s="1"/>
  <c r="C44" i="5"/>
  <c r="AC43" i="1"/>
  <c r="DA43" i="5"/>
  <c r="DG43" i="5" s="1" a="1"/>
  <c r="DG43" i="5" s="1"/>
  <c r="AB44" i="1"/>
  <c r="DI44" i="5"/>
  <c r="AE53" i="9"/>
  <c r="AI53" i="9"/>
  <c r="AC115" i="9"/>
  <c r="N29" i="1"/>
  <c r="S46" i="2"/>
  <c r="N47" i="2"/>
  <c r="R47" i="2"/>
  <c r="Q46" i="2"/>
  <c r="J48" i="10"/>
  <c r="O48" i="2"/>
  <c r="P48" i="2"/>
  <c r="M47" i="2"/>
  <c r="AG41" i="7" l="1"/>
  <c r="AF41" i="7"/>
  <c r="O51" i="1"/>
  <c r="BL58" i="5" a="1"/>
  <c r="BL58" i="5" s="1"/>
  <c r="AP42" i="5"/>
  <c r="BO42" i="8"/>
  <c r="BK42" i="8"/>
  <c r="BL42" i="8"/>
  <c r="BI42" i="8"/>
  <c r="BJ42" i="8"/>
  <c r="BG42" i="8"/>
  <c r="BH42" i="8"/>
  <c r="BF42" i="8"/>
  <c r="AC42" i="10"/>
  <c r="X42" i="10" s="1"/>
  <c r="AO42" i="5"/>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W44" i="8"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O41" i="8"/>
  <c r="BZ41" i="8"/>
  <c r="CQ41" i="8" s="1"/>
  <c r="CR41" i="8" s="1"/>
  <c r="CF43" i="8"/>
  <c r="CB48" i="8"/>
  <c r="BR43" i="8"/>
  <c r="BS42" i="8"/>
  <c r="BY42" i="8" s="1"/>
  <c r="N42" i="7"/>
  <c r="BD43" i="8"/>
  <c r="BP43" i="8" s="1"/>
  <c r="BE43" i="8"/>
  <c r="BN43" i="8" s="1"/>
  <c r="AF54" i="9"/>
  <c r="V44" i="2"/>
  <c r="AE42" i="7"/>
  <c r="Q42" i="7"/>
  <c r="J44" i="2"/>
  <c r="AW43" i="5"/>
  <c r="AB43" i="8"/>
  <c r="BM43" i="8" s="1"/>
  <c r="BT43" i="5"/>
  <c r="A43" i="10"/>
  <c r="AA43" i="10" s="1"/>
  <c r="B43" i="7"/>
  <c r="AV43" i="5"/>
  <c r="AJ43" i="5"/>
  <c r="W43" i="8"/>
  <c r="E43" i="1"/>
  <c r="AI43" i="5"/>
  <c r="B43" i="9"/>
  <c r="W43" i="9" s="1"/>
  <c r="A43" i="11"/>
  <c r="CZ45" i="5"/>
  <c r="B41" i="14"/>
  <c r="AI41" i="7"/>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V45" i="2"/>
  <c r="AC44" i="1"/>
  <c r="DA44" i="5"/>
  <c r="DG44" i="5" s="1" a="1"/>
  <c r="DG44" i="5" s="1"/>
  <c r="AB45" i="1"/>
  <c r="DI45" i="5"/>
  <c r="AE54" i="9"/>
  <c r="AI54" i="9"/>
  <c r="AC116" i="9"/>
  <c r="N30" i="1"/>
  <c r="S47" i="2"/>
  <c r="N48" i="2"/>
  <c r="R48" i="2"/>
  <c r="Q47" i="2"/>
  <c r="O49" i="2"/>
  <c r="M48" i="2"/>
  <c r="P49" i="2"/>
  <c r="J49" i="10"/>
  <c r="AG42" i="7" l="1"/>
  <c r="AF42" i="7"/>
  <c r="O52" i="1"/>
  <c r="BL59" i="5" a="1"/>
  <c r="BL59" i="5" s="1"/>
  <c r="BO43" i="8"/>
  <c r="BK43" i="8"/>
  <c r="BL43" i="8"/>
  <c r="BI43" i="8"/>
  <c r="BJ43" i="8"/>
  <c r="BG43" i="8"/>
  <c r="BH43" i="8"/>
  <c r="BF43" i="8"/>
  <c r="AP43" i="5"/>
  <c r="AC43" i="10"/>
  <c r="X43" i="10" s="1"/>
  <c r="AO43" i="5"/>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BD44" i="8"/>
  <c r="BP44" i="8" s="1"/>
  <c r="B44" i="9"/>
  <c r="W44" i="9" s="1"/>
  <c r="BT44" i="5"/>
  <c r="AI44" i="5"/>
  <c r="AV44" i="5"/>
  <c r="E44" i="1"/>
  <c r="AW44" i="5"/>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F55" i="9"/>
  <c r="CK42" i="8"/>
  <c r="J45" i="2"/>
  <c r="BX43" i="8"/>
  <c r="CO43" i="8" s="1"/>
  <c r="CP43" i="8" s="1"/>
  <c r="BT43" i="8"/>
  <c r="CC43" i="8"/>
  <c r="CS43" i="8" s="1"/>
  <c r="BV43" i="8"/>
  <c r="BW43" i="8"/>
  <c r="CM43" i="8" s="1"/>
  <c r="BU43" i="8"/>
  <c r="AE43" i="7"/>
  <c r="Q43" i="7"/>
  <c r="AR42" i="5"/>
  <c r="AQ42" i="5"/>
  <c r="O42" i="8"/>
  <c r="C45" i="5"/>
  <c r="F45" i="5" s="1"/>
  <c r="B42" i="14"/>
  <c r="AI42" i="7"/>
  <c r="CZ46" i="5"/>
  <c r="Y42" i="11"/>
  <c r="AH42" i="1" s="1"/>
  <c r="AA42" i="11"/>
  <c r="AK42" i="1" s="1"/>
  <c r="AC42" i="11"/>
  <c r="T42" i="8" s="1"/>
  <c r="AD42" i="11"/>
  <c r="AI42" i="1" s="1"/>
  <c r="N43" i="11"/>
  <c r="Z42" i="11"/>
  <c r="AB42" i="11"/>
  <c r="P42" i="8" s="1"/>
  <c r="AB46" i="1"/>
  <c r="DI46" i="5"/>
  <c r="V46" i="2"/>
  <c r="AC45" i="1"/>
  <c r="DA45" i="5"/>
  <c r="DG45" i="5" s="1" a="1"/>
  <c r="DG45" i="5" s="1"/>
  <c r="AE55" i="9"/>
  <c r="AI55" i="9"/>
  <c r="AC117" i="9"/>
  <c r="N31" i="1"/>
  <c r="S48" i="2"/>
  <c r="N49" i="2"/>
  <c r="R49" i="2"/>
  <c r="Q48" i="2"/>
  <c r="M49" i="2"/>
  <c r="J50" i="10"/>
  <c r="O50" i="2"/>
  <c r="P50" i="2"/>
  <c r="AG43" i="7" l="1"/>
  <c r="AF43" i="7"/>
  <c r="O53" i="1"/>
  <c r="BL60" i="5" a="1"/>
  <c r="BL60" i="5" s="1"/>
  <c r="BO44" i="8"/>
  <c r="BK44" i="8"/>
  <c r="BL44" i="8"/>
  <c r="AP44" i="5"/>
  <c r="BI44" i="8"/>
  <c r="BJ44" i="8"/>
  <c r="BG44" i="8"/>
  <c r="BH44" i="8"/>
  <c r="BF44" i="8"/>
  <c r="AC44" i="10"/>
  <c r="X44" i="10" s="1"/>
  <c r="AO44" i="5"/>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C43" i="11"/>
  <c r="T43" i="8" s="1"/>
  <c r="Z43" i="11"/>
  <c r="BV44" i="8"/>
  <c r="CK44" i="8" s="1"/>
  <c r="BW44" i="8"/>
  <c r="CM44" i="8" s="1"/>
  <c r="BS44" i="8"/>
  <c r="BZ44" i="8" s="1"/>
  <c r="N44" i="11"/>
  <c r="D45" i="9"/>
  <c r="CC44" i="8"/>
  <c r="CS44" i="8" s="1"/>
  <c r="BT44" i="8"/>
  <c r="CJ44" i="8" s="1"/>
  <c r="CN44" i="8" s="1"/>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Q43" i="8" s="1"/>
  <c r="CR43" i="8" s="1"/>
  <c r="CJ43" i="8"/>
  <c r="CN43" i="8" s="1"/>
  <c r="CU43" i="8"/>
  <c r="DA45" i="8"/>
  <c r="DB45" i="8" s="1"/>
  <c r="CF45" i="8"/>
  <c r="CB50" i="8"/>
  <c r="BR45" i="8"/>
  <c r="BD45" i="8"/>
  <c r="BE45" i="8"/>
  <c r="BN45" i="8" s="1"/>
  <c r="AF56" i="9"/>
  <c r="CK43" i="8"/>
  <c r="C46" i="5"/>
  <c r="F46" i="5" s="1"/>
  <c r="J46" i="2"/>
  <c r="CZ47" i="5"/>
  <c r="B43" i="14"/>
  <c r="AI43" i="7"/>
  <c r="AQ43" i="5"/>
  <c r="AR43" i="5"/>
  <c r="AW45" i="5"/>
  <c r="AV45" i="5"/>
  <c r="A45" i="10"/>
  <c r="AA45" i="10" s="1"/>
  <c r="AJ45" i="5"/>
  <c r="B45" i="9"/>
  <c r="W45" i="9" s="1"/>
  <c r="AI45" i="5"/>
  <c r="A45" i="11"/>
  <c r="AB45" i="8"/>
  <c r="BM45" i="8" s="1"/>
  <c r="BT45" i="5"/>
  <c r="B45" i="7"/>
  <c r="W45" i="8"/>
  <c r="E45" i="1"/>
  <c r="V47" i="2"/>
  <c r="AC46" i="1"/>
  <c r="DA46" i="5"/>
  <c r="DG46" i="5" s="1" a="1"/>
  <c r="DG46" i="5" s="1"/>
  <c r="AB47" i="1"/>
  <c r="DI47" i="5"/>
  <c r="AE56" i="9"/>
  <c r="AI56" i="9"/>
  <c r="AC118" i="9"/>
  <c r="N32" i="1"/>
  <c r="S49" i="2"/>
  <c r="N50" i="2"/>
  <c r="R50" i="2"/>
  <c r="Q49" i="2"/>
  <c r="J51" i="10"/>
  <c r="P51" i="2"/>
  <c r="O51" i="2"/>
  <c r="M50" i="2"/>
  <c r="AG44" i="7" l="1"/>
  <c r="AF44" i="7"/>
  <c r="O54" i="1"/>
  <c r="BL61" i="5" a="1"/>
  <c r="BL61" i="5" s="1"/>
  <c r="BO45" i="8"/>
  <c r="BP45" i="8"/>
  <c r="BK45" i="8"/>
  <c r="BL45" i="8"/>
  <c r="BI45" i="8"/>
  <c r="BJ45" i="8"/>
  <c r="BG45" i="8"/>
  <c r="BH45" i="8"/>
  <c r="BF45" i="8"/>
  <c r="AP45" i="5"/>
  <c r="AN45" i="5"/>
  <c r="AC45" i="10"/>
  <c r="X45" i="10" s="1"/>
  <c r="AO45" i="5"/>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CL44" i="8"/>
  <c r="B48" i="10"/>
  <c r="G49" i="5"/>
  <c r="D48" i="7"/>
  <c r="I49" i="5"/>
  <c r="D48" i="10"/>
  <c r="F48" i="7"/>
  <c r="DB48" i="5"/>
  <c r="L49" i="5"/>
  <c r="G48" i="10"/>
  <c r="I48" i="7"/>
  <c r="K49" i="5"/>
  <c r="F48" i="10"/>
  <c r="H48" i="7"/>
  <c r="DD48" i="5"/>
  <c r="H49" i="5"/>
  <c r="C48" i="10"/>
  <c r="E48" i="7"/>
  <c r="M49" i="5"/>
  <c r="H48" i="10"/>
  <c r="J48" i="7"/>
  <c r="J49" i="5"/>
  <c r="DC49" i="5" s="1"/>
  <c r="E48" i="10"/>
  <c r="G48" i="7"/>
  <c r="O43" i="8"/>
  <c r="CL43" i="8"/>
  <c r="CY43" i="8" s="1"/>
  <c r="G43" i="1" s="1"/>
  <c r="M43" i="8" s="1"/>
  <c r="CD45" i="8"/>
  <c r="CT45" i="8" s="1"/>
  <c r="DA46" i="8"/>
  <c r="DB46" i="8" s="1"/>
  <c r="CB51" i="8"/>
  <c r="CF46" i="8"/>
  <c r="BR46" i="8"/>
  <c r="BE46" i="8"/>
  <c r="BN46" i="8" s="1"/>
  <c r="BS45" i="8"/>
  <c r="BY45" i="8" s="1"/>
  <c r="N45" i="7"/>
  <c r="BT46" i="5"/>
  <c r="BD46" i="8"/>
  <c r="BP46" i="8" s="1"/>
  <c r="AF57" i="9"/>
  <c r="AB46" i="8"/>
  <c r="BM46" i="8" s="1"/>
  <c r="AI46" i="5"/>
  <c r="AJ46" i="5"/>
  <c r="AV46" i="5"/>
  <c r="E46" i="1"/>
  <c r="W46" i="8"/>
  <c r="A46" i="11"/>
  <c r="Y45" i="11" s="1"/>
  <c r="AH45" i="1" s="1"/>
  <c r="B46" i="9"/>
  <c r="W46" i="9" s="1"/>
  <c r="B46" i="7"/>
  <c r="AW46" i="5"/>
  <c r="A46" i="10"/>
  <c r="AA46" i="10" s="1"/>
  <c r="C47" i="5"/>
  <c r="F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Q45" i="7"/>
  <c r="AB48" i="1"/>
  <c r="DI48" i="5"/>
  <c r="J48" i="2"/>
  <c r="AC47" i="1"/>
  <c r="DA47" i="5"/>
  <c r="DG47" i="5" s="1" a="1"/>
  <c r="DG47" i="5" s="1"/>
  <c r="AE57" i="9"/>
  <c r="AI57" i="9"/>
  <c r="AC119" i="9"/>
  <c r="N33" i="1"/>
  <c r="S50" i="2"/>
  <c r="N51" i="2"/>
  <c r="R51" i="2"/>
  <c r="Q50" i="2"/>
  <c r="M51" i="2"/>
  <c r="O52" i="2"/>
  <c r="P52" i="2"/>
  <c r="J52" i="10"/>
  <c r="AG45" i="7" l="1"/>
  <c r="AF45" i="7"/>
  <c r="O55" i="1"/>
  <c r="BL62" i="5" a="1"/>
  <c r="BL62" i="5" s="1"/>
  <c r="BO46" i="8"/>
  <c r="BK46" i="8"/>
  <c r="BL46" i="8"/>
  <c r="BI46" i="8"/>
  <c r="BJ46" i="8"/>
  <c r="BG46" i="8"/>
  <c r="BH46" i="8"/>
  <c r="BF46" i="8"/>
  <c r="AN46" i="5"/>
  <c r="AP46" i="5"/>
  <c r="AC46" i="10"/>
  <c r="X46" i="10" s="1"/>
  <c r="AO46" i="5"/>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O45" i="8"/>
  <c r="BE47" i="8"/>
  <c r="BN47" i="8" s="1"/>
  <c r="BS46" i="8"/>
  <c r="BY46" i="8" s="1"/>
  <c r="N46" i="7"/>
  <c r="AW47" i="5"/>
  <c r="BD47" i="8"/>
  <c r="BP47" i="8" s="1"/>
  <c r="AF58" i="9"/>
  <c r="B47" i="7"/>
  <c r="Q47" i="7" s="1"/>
  <c r="AI47" i="5"/>
  <c r="A47" i="11"/>
  <c r="B47" i="9"/>
  <c r="W47" i="9" s="1"/>
  <c r="W47" i="8"/>
  <c r="A47" i="10"/>
  <c r="AA47" i="10" s="1"/>
  <c r="AV47" i="5"/>
  <c r="AQ45" i="5"/>
  <c r="BT47" i="5"/>
  <c r="E47" i="1"/>
  <c r="AE46" i="7"/>
  <c r="Q46" i="7"/>
  <c r="AC45" i="11"/>
  <c r="T45" i="8" s="1"/>
  <c r="AB45" i="11"/>
  <c r="P45" i="8" s="1"/>
  <c r="AD45" i="11"/>
  <c r="AI45" i="1" s="1"/>
  <c r="N46" i="11"/>
  <c r="Z45" i="11"/>
  <c r="AA45" i="11"/>
  <c r="AK45" i="1" s="1"/>
  <c r="AJ47" i="5"/>
  <c r="AR45" i="5"/>
  <c r="AB47" i="8"/>
  <c r="BM47" i="8" s="1"/>
  <c r="BT46" i="8"/>
  <c r="BX46" i="8"/>
  <c r="CO46" i="8" s="1"/>
  <c r="CP46" i="8" s="1"/>
  <c r="CC46" i="8"/>
  <c r="CS46" i="8" s="1"/>
  <c r="BV46" i="8"/>
  <c r="BW46" i="8"/>
  <c r="CM46" i="8" s="1"/>
  <c r="BU46" i="8"/>
  <c r="V48" i="2"/>
  <c r="C48" i="5"/>
  <c r="F48" i="5" s="1"/>
  <c r="CK45" i="8"/>
  <c r="CZ49" i="5"/>
  <c r="J49" i="2"/>
  <c r="AC48" i="1"/>
  <c r="DA48" i="5"/>
  <c r="DG48" i="5" s="1" a="1"/>
  <c r="DG48" i="5" s="1"/>
  <c r="AB49" i="1"/>
  <c r="DI49" i="5"/>
  <c r="AE58" i="9"/>
  <c r="AI58" i="9"/>
  <c r="AC120" i="9"/>
  <c r="N34" i="1"/>
  <c r="S51" i="2"/>
  <c r="N52" i="2"/>
  <c r="R52" i="2"/>
  <c r="Q51" i="2"/>
  <c r="O53" i="2"/>
  <c r="J53" i="10"/>
  <c r="M52" i="2"/>
  <c r="P53" i="2"/>
  <c r="AG46" i="7" l="1"/>
  <c r="AF46" i="7"/>
  <c r="O56" i="1"/>
  <c r="BL63" i="5" a="1"/>
  <c r="BL63" i="5" s="1"/>
  <c r="AP47" i="5"/>
  <c r="BS47" i="8"/>
  <c r="BY47" i="8" s="1"/>
  <c r="BO47" i="8"/>
  <c r="BK47" i="8"/>
  <c r="BL47" i="8"/>
  <c r="BI47" i="8"/>
  <c r="BJ47" i="8"/>
  <c r="BG47" i="8"/>
  <c r="BH47" i="8"/>
  <c r="BF47" i="8"/>
  <c r="AN47" i="5"/>
  <c r="AC47" i="10"/>
  <c r="X47" i="10" s="1"/>
  <c r="AO47" i="5"/>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F59" i="9"/>
  <c r="B46" i="14"/>
  <c r="AR46" i="5"/>
  <c r="AQ46" i="5"/>
  <c r="BV47" i="8"/>
  <c r="AE47" i="7"/>
  <c r="BX47" i="8"/>
  <c r="CO47" i="8" s="1"/>
  <c r="CP47" i="8" s="1"/>
  <c r="AB46" i="11"/>
  <c r="P46" i="8" s="1"/>
  <c r="Z46" i="11"/>
  <c r="Y46" i="11"/>
  <c r="AH46" i="1" s="1"/>
  <c r="AC46" i="11"/>
  <c r="T46" i="8" s="1"/>
  <c r="N47" i="11"/>
  <c r="AA46" i="11"/>
  <c r="AK46" i="1" s="1"/>
  <c r="AD46" i="11"/>
  <c r="AI46" i="1" s="1"/>
  <c r="BU47" i="8"/>
  <c r="BW47" i="8"/>
  <c r="CM47" i="8" s="1"/>
  <c r="BT47" i="8"/>
  <c r="C49" i="5"/>
  <c r="F49" i="5" s="1"/>
  <c r="CK46" i="8"/>
  <c r="O46" i="8"/>
  <c r="V49" i="2"/>
  <c r="AW48" i="5"/>
  <c r="A48" i="10"/>
  <c r="AA48" i="10" s="1"/>
  <c r="B48" i="7"/>
  <c r="A48" i="11"/>
  <c r="W48" i="8"/>
  <c r="E48" i="1"/>
  <c r="AV48" i="5"/>
  <c r="AJ48" i="5"/>
  <c r="B48" i="9"/>
  <c r="W48" i="9" s="1"/>
  <c r="AI48" i="5"/>
  <c r="AB48" i="8"/>
  <c r="BM48" i="8" s="1"/>
  <c r="BT48" i="5"/>
  <c r="CZ50" i="5"/>
  <c r="AB50" i="1"/>
  <c r="DI50" i="5"/>
  <c r="C50" i="5"/>
  <c r="AC49" i="1"/>
  <c r="DA49" i="5"/>
  <c r="DG49" i="5" s="1" a="1"/>
  <c r="DG49" i="5" s="1"/>
  <c r="AE59" i="9"/>
  <c r="AI59" i="9"/>
  <c r="AC121" i="9"/>
  <c r="N35" i="1"/>
  <c r="S52" i="2"/>
  <c r="N53" i="2"/>
  <c r="R53" i="2"/>
  <c r="Q52" i="2"/>
  <c r="P54" i="2"/>
  <c r="O54" i="2"/>
  <c r="M53" i="2"/>
  <c r="J54" i="10"/>
  <c r="AG47" i="7" l="1"/>
  <c r="AF47" i="7"/>
  <c r="O57" i="1"/>
  <c r="BL64" i="5" a="1"/>
  <c r="BL64" i="5" s="1"/>
  <c r="BZ47" i="8"/>
  <c r="CQ47" i="8" s="1"/>
  <c r="CR47" i="8" s="1"/>
  <c r="BO48" i="8"/>
  <c r="BK48" i="8"/>
  <c r="BL48" i="8"/>
  <c r="BI48" i="8"/>
  <c r="BJ48" i="8"/>
  <c r="BG48" i="8"/>
  <c r="BH48" i="8"/>
  <c r="BF48" i="8"/>
  <c r="AP48" i="5"/>
  <c r="AC48" i="10"/>
  <c r="X48" i="10" s="1"/>
  <c r="AO48" i="5"/>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50" i="11"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W49" i="9" s="1"/>
  <c r="BD49" i="8"/>
  <c r="BP49" i="8" s="1"/>
  <c r="AF60" i="9"/>
  <c r="B47" i="14"/>
  <c r="CK47" i="8"/>
  <c r="AR47" i="5"/>
  <c r="AQ47" i="5"/>
  <c r="O47" i="8"/>
  <c r="W49" i="8"/>
  <c r="B49" i="7"/>
  <c r="Q49" i="7" s="1"/>
  <c r="AJ49" i="5"/>
  <c r="AB49" i="8"/>
  <c r="BM49" i="8" s="1"/>
  <c r="A49" i="11"/>
  <c r="AA48" i="11" s="1"/>
  <c r="AK48" i="1" s="1"/>
  <c r="AI49" i="5"/>
  <c r="BT49" i="5"/>
  <c r="AW49" i="5"/>
  <c r="AV49" i="5"/>
  <c r="E49" i="1"/>
  <c r="A49" i="10"/>
  <c r="AA49" i="10" s="1"/>
  <c r="J50" i="2"/>
  <c r="V50" i="2"/>
  <c r="Q48" i="7"/>
  <c r="AE48" i="7"/>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V51" i="2"/>
  <c r="AC50" i="1"/>
  <c r="DA50" i="5"/>
  <c r="DG50" i="5" s="1" a="1"/>
  <c r="DG50" i="5" s="1"/>
  <c r="AB51" i="1"/>
  <c r="DI51" i="5"/>
  <c r="AE60" i="9"/>
  <c r="AI60" i="9"/>
  <c r="AC122" i="9"/>
  <c r="N36" i="1"/>
  <c r="S53" i="2"/>
  <c r="N54" i="2"/>
  <c r="R54" i="2"/>
  <c r="Q53" i="2"/>
  <c r="O55" i="2"/>
  <c r="P55" i="2"/>
  <c r="M54" i="2"/>
  <c r="J55" i="10"/>
  <c r="AG48" i="7" l="1"/>
  <c r="AF48" i="7"/>
  <c r="O58" i="1"/>
  <c r="BL65" i="5" a="1"/>
  <c r="BL65" i="5" s="1"/>
  <c r="AN49" i="5"/>
  <c r="BO49" i="8"/>
  <c r="BK49" i="8"/>
  <c r="BL49" i="8"/>
  <c r="BI49" i="8"/>
  <c r="BJ49" i="8"/>
  <c r="BG49" i="8"/>
  <c r="BH49" i="8"/>
  <c r="BF49" i="8"/>
  <c r="AP49" i="5"/>
  <c r="AC49" i="10"/>
  <c r="X49" i="10" s="1"/>
  <c r="AO49" i="5"/>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AW50" i="5"/>
  <c r="B50" i="7"/>
  <c r="AE50" i="7" s="1"/>
  <c r="E50" i="1"/>
  <c r="BE50" i="8"/>
  <c r="BN50" i="8" s="1"/>
  <c r="AI50" i="5"/>
  <c r="B50" i="9"/>
  <c r="W50" i="9" s="1"/>
  <c r="AV50" i="5"/>
  <c r="W50" i="8"/>
  <c r="AJ50" i="5"/>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Q48" i="8" s="1"/>
  <c r="CR48" i="8" s="1"/>
  <c r="CB55" i="8"/>
  <c r="BS49" i="8"/>
  <c r="BZ49" i="8" s="1"/>
  <c r="N49" i="7"/>
  <c r="AF61" i="9"/>
  <c r="B48" i="14"/>
  <c r="AE49" i="7"/>
  <c r="AD49" i="11"/>
  <c r="AI49" i="1"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CK48" i="8"/>
  <c r="DI52" i="5"/>
  <c r="AB52" i="1"/>
  <c r="V52" i="2"/>
  <c r="AC51" i="1"/>
  <c r="DA51" i="5"/>
  <c r="DG51" i="5" s="1" a="1"/>
  <c r="DG51" i="5" s="1"/>
  <c r="AQ5" i="5"/>
  <c r="AE61" i="9"/>
  <c r="AI61" i="9"/>
  <c r="AC123" i="9"/>
  <c r="N37" i="1"/>
  <c r="S54" i="2"/>
  <c r="N55" i="2"/>
  <c r="R55" i="2"/>
  <c r="Q54" i="2"/>
  <c r="M55" i="2"/>
  <c r="J56" i="10"/>
  <c r="P56" i="2"/>
  <c r="O56" i="2"/>
  <c r="AG50" i="7" l="1"/>
  <c r="AF50" i="7"/>
  <c r="AG49" i="7"/>
  <c r="AF49" i="7"/>
  <c r="O59" i="1"/>
  <c r="BL66" i="5" a="1"/>
  <c r="BL66" i="5" s="1"/>
  <c r="BO50" i="8"/>
  <c r="BK50" i="8"/>
  <c r="BL50" i="8"/>
  <c r="BI50" i="8"/>
  <c r="BJ50" i="8"/>
  <c r="AP50" i="5"/>
  <c r="BG50" i="8"/>
  <c r="BH50" i="8"/>
  <c r="BF50" i="8"/>
  <c r="AC50" i="10"/>
  <c r="X50" i="10" s="1"/>
  <c r="AO50" i="5"/>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CJ50" i="8" s="1"/>
  <c r="CN50" i="8" s="1"/>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O48" i="8"/>
  <c r="CF51" i="8"/>
  <c r="CB56" i="8"/>
  <c r="BY49" i="8"/>
  <c r="CQ49" i="8" s="1"/>
  <c r="CR49" i="8" s="1"/>
  <c r="BR51" i="8"/>
  <c r="BD51" i="8"/>
  <c r="BP51" i="8" s="1"/>
  <c r="BE51" i="8"/>
  <c r="BN51" i="8" s="1"/>
  <c r="AF62" i="9"/>
  <c r="B49" i="14"/>
  <c r="AR49" i="5"/>
  <c r="AQ49" i="5"/>
  <c r="CK49" i="8"/>
  <c r="CZ53" i="5"/>
  <c r="AW51" i="5"/>
  <c r="A51" i="11"/>
  <c r="B51" i="7"/>
  <c r="W51" i="8"/>
  <c r="E51" i="1"/>
  <c r="AV51" i="5"/>
  <c r="AJ51" i="5"/>
  <c r="AI51" i="5"/>
  <c r="AB51" i="8"/>
  <c r="BM51" i="8" s="1"/>
  <c r="BT51" i="5"/>
  <c r="A51" i="10"/>
  <c r="AA51" i="10" s="1"/>
  <c r="B51" i="9"/>
  <c r="W51" i="9" s="1"/>
  <c r="C52" i="5"/>
  <c r="F52" i="5" s="1"/>
  <c r="J52" i="2"/>
  <c r="V53" i="2"/>
  <c r="AC52" i="1"/>
  <c r="DA52" i="5"/>
  <c r="DG52" i="5" s="1" a="1"/>
  <c r="DG52" i="5" s="1"/>
  <c r="AB53" i="1"/>
  <c r="DI53" i="5"/>
  <c r="AE62" i="9"/>
  <c r="AI62" i="9"/>
  <c r="AC124" i="9"/>
  <c r="N38" i="1"/>
  <c r="S55" i="2"/>
  <c r="N56" i="2"/>
  <c r="R56" i="2"/>
  <c r="Q55" i="2"/>
  <c r="P57" i="2"/>
  <c r="O57" i="2"/>
  <c r="J57" i="10"/>
  <c r="M56" i="2"/>
  <c r="O60" i="1" l="1"/>
  <c r="BL67" i="5" a="1"/>
  <c r="BL67" i="5" s="1"/>
  <c r="AP51" i="5"/>
  <c r="BO51" i="8"/>
  <c r="BK51" i="8"/>
  <c r="BL51" i="8"/>
  <c r="BI51" i="8"/>
  <c r="BJ51" i="8"/>
  <c r="BG51" i="8"/>
  <c r="BH51" i="8"/>
  <c r="BF51" i="8"/>
  <c r="AC51" i="10"/>
  <c r="X51" i="10" s="1"/>
  <c r="AO51" i="5"/>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CL50" i="8" s="1"/>
  <c r="BY50" i="8"/>
  <c r="CQ50" i="8" s="1"/>
  <c r="CR50" i="8" s="1"/>
  <c r="AQ50" i="5"/>
  <c r="CL49" i="8"/>
  <c r="CY49" i="8" s="1"/>
  <c r="G49" i="1" s="1"/>
  <c r="M49" i="8" s="1"/>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O49" i="8"/>
  <c r="CB57" i="8"/>
  <c r="CF52" i="8"/>
  <c r="BR52" i="8"/>
  <c r="BS51" i="8"/>
  <c r="BY51" i="8" s="1"/>
  <c r="N51" i="7"/>
  <c r="BD52" i="8"/>
  <c r="BP52" i="8" s="1"/>
  <c r="BE52" i="8"/>
  <c r="BN52" i="8" s="1"/>
  <c r="AF63" i="9"/>
  <c r="AW52" i="5"/>
  <c r="AI52" i="5"/>
  <c r="A52" i="11"/>
  <c r="AB52" i="8"/>
  <c r="BM52" i="8" s="1"/>
  <c r="BT52" i="5"/>
  <c r="A52" i="10"/>
  <c r="AA52" i="10" s="1"/>
  <c r="B52" i="7"/>
  <c r="AV52" i="5"/>
  <c r="W52" i="8"/>
  <c r="E52" i="1"/>
  <c r="AJ52" i="5"/>
  <c r="B52" i="9"/>
  <c r="W52" i="9" s="1"/>
  <c r="AE51" i="7"/>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B54" i="1"/>
  <c r="DI54" i="5"/>
  <c r="J54" i="2"/>
  <c r="AC53" i="1"/>
  <c r="DA53" i="5"/>
  <c r="DG53" i="5" s="1" a="1"/>
  <c r="DG53" i="5" s="1"/>
  <c r="AE63" i="9"/>
  <c r="AI63" i="9"/>
  <c r="AC125" i="9"/>
  <c r="N39" i="1"/>
  <c r="S56" i="2"/>
  <c r="N57" i="2"/>
  <c r="R57" i="2"/>
  <c r="Q56" i="2"/>
  <c r="P58" i="2"/>
  <c r="M57" i="2"/>
  <c r="O58" i="2"/>
  <c r="J58" i="10"/>
  <c r="AG51" i="7" l="1"/>
  <c r="AF51" i="7"/>
  <c r="O61" i="1"/>
  <c r="BL68" i="5" a="1"/>
  <c r="BL68" i="5" s="1"/>
  <c r="AN52" i="5"/>
  <c r="BS52" i="8"/>
  <c r="BY52" i="8" s="1"/>
  <c r="BO52" i="8"/>
  <c r="BK52" i="8"/>
  <c r="BL52" i="8"/>
  <c r="BI52" i="8"/>
  <c r="BJ52" i="8"/>
  <c r="BG52" i="8"/>
  <c r="BH52" i="8"/>
  <c r="BF52" i="8"/>
  <c r="AP52" i="5"/>
  <c r="AC52" i="10"/>
  <c r="X52" i="10" s="1"/>
  <c r="AO52" i="5"/>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O50" i="8"/>
  <c r="CY50" i="8"/>
  <c r="G50" i="1" s="1"/>
  <c r="M50" i="8"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F64" i="9"/>
  <c r="B51" i="14"/>
  <c r="CK51" i="8"/>
  <c r="AR51" i="5"/>
  <c r="C54" i="5"/>
  <c r="F54" i="5" s="1"/>
  <c r="CZ55" i="5"/>
  <c r="O51" i="8"/>
  <c r="CC52" i="8"/>
  <c r="CS52" i="8" s="1"/>
  <c r="BX52" i="8"/>
  <c r="CO52" i="8" s="1"/>
  <c r="CP52" i="8" s="1"/>
  <c r="BV52" i="8"/>
  <c r="BW52" i="8"/>
  <c r="CM52" i="8" s="1"/>
  <c r="BT52" i="8"/>
  <c r="BU52" i="8"/>
  <c r="AW53" i="5"/>
  <c r="AJ53" i="5"/>
  <c r="W53" i="8"/>
  <c r="AI53" i="5"/>
  <c r="A53" i="11"/>
  <c r="B53" i="9"/>
  <c r="W53" i="9" s="1"/>
  <c r="AB53" i="8"/>
  <c r="BM53" i="8" s="1"/>
  <c r="BT53" i="5"/>
  <c r="AV53" i="5"/>
  <c r="A53" i="10"/>
  <c r="AA53" i="10" s="1"/>
  <c r="B53" i="7"/>
  <c r="E53" i="1"/>
  <c r="AQ51" i="5"/>
  <c r="AD51" i="11"/>
  <c r="AI51" i="1" s="1"/>
  <c r="N52" i="11"/>
  <c r="Z51" i="11"/>
  <c r="AA51" i="11"/>
  <c r="AK51" i="1" s="1"/>
  <c r="AC51" i="11"/>
  <c r="T51" i="8" s="1"/>
  <c r="AB51" i="11"/>
  <c r="P51" i="8" s="1"/>
  <c r="Y51" i="11"/>
  <c r="AH51" i="1" s="1"/>
  <c r="AE52" i="7"/>
  <c r="Q52" i="7"/>
  <c r="V54" i="2"/>
  <c r="C55" i="5"/>
  <c r="AC54" i="1"/>
  <c r="DA54" i="5"/>
  <c r="DG54" i="5" s="1" a="1"/>
  <c r="DG54" i="5" s="1"/>
  <c r="AB55" i="1"/>
  <c r="DI55" i="5"/>
  <c r="AE64" i="9"/>
  <c r="AI64" i="9"/>
  <c r="AC126" i="9"/>
  <c r="N40" i="1"/>
  <c r="S57" i="2"/>
  <c r="N58" i="2"/>
  <c r="R58" i="2"/>
  <c r="Q57" i="2"/>
  <c r="J59" i="10"/>
  <c r="P59" i="2"/>
  <c r="O59" i="2"/>
  <c r="M58" i="2"/>
  <c r="AG52" i="7" l="1"/>
  <c r="AF52" i="7"/>
  <c r="O62" i="1"/>
  <c r="BL69" i="5" a="1"/>
  <c r="BL69" i="5" s="1"/>
  <c r="BZ52" i="8"/>
  <c r="CQ52" i="8" s="1"/>
  <c r="CR52" i="8" s="1"/>
  <c r="BO53" i="8"/>
  <c r="BK53" i="8"/>
  <c r="BL53" i="8"/>
  <c r="AP53" i="5"/>
  <c r="BI53" i="8"/>
  <c r="BJ53" i="8"/>
  <c r="BG53" i="8"/>
  <c r="BH53" i="8"/>
  <c r="BF53" i="8"/>
  <c r="AC53" i="10"/>
  <c r="X53" i="10" s="1"/>
  <c r="AO53" i="5"/>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55" i="10" s="1"/>
  <c r="AA55" i="10"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O52" i="8"/>
  <c r="CU52" i="8"/>
  <c r="CL51" i="8"/>
  <c r="CY51" i="8" s="1"/>
  <c r="G51" i="1" s="1"/>
  <c r="M51" i="8" s="1"/>
  <c r="CJ52" i="8"/>
  <c r="CN52" i="8" s="1"/>
  <c r="D54" i="9"/>
  <c r="CD53" i="8"/>
  <c r="CT53" i="8" s="1"/>
  <c r="DA54" i="8"/>
  <c r="DB54" i="8" s="1"/>
  <c r="CF54" i="8"/>
  <c r="CB59" i="8"/>
  <c r="BR54" i="8"/>
  <c r="BS53" i="8"/>
  <c r="BY53" i="8" s="1"/>
  <c r="N53" i="7"/>
  <c r="BD54" i="8"/>
  <c r="BP54" i="8" s="1"/>
  <c r="BE54" i="8"/>
  <c r="BN54" i="8" s="1"/>
  <c r="AF65" i="9"/>
  <c r="B52" i="14"/>
  <c r="AQ52" i="5"/>
  <c r="AR52" i="5"/>
  <c r="AE53" i="7"/>
  <c r="Q53" i="7"/>
  <c r="V55" i="2"/>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AW54" i="5"/>
  <c r="B54" i="7"/>
  <c r="AB54" i="8"/>
  <c r="BM54" i="8" s="1"/>
  <c r="BT54" i="5"/>
  <c r="E54" i="1"/>
  <c r="AV54" i="5"/>
  <c r="AJ54" i="5"/>
  <c r="W54" i="8"/>
  <c r="AI54" i="5"/>
  <c r="B54" i="9"/>
  <c r="W54" i="9" s="1"/>
  <c r="A54" i="11"/>
  <c r="A54" i="10"/>
  <c r="AA54" i="10" s="1"/>
  <c r="DI56" i="5"/>
  <c r="AB56" i="1"/>
  <c r="J56" i="2"/>
  <c r="AC55" i="1"/>
  <c r="DA55" i="5"/>
  <c r="DG55" i="5" s="1" a="1"/>
  <c r="DG55" i="5" s="1"/>
  <c r="AE65" i="9"/>
  <c r="AI65" i="9"/>
  <c r="AC127" i="9"/>
  <c r="N41" i="1"/>
  <c r="S58" i="2"/>
  <c r="N59" i="2"/>
  <c r="R59" i="2"/>
  <c r="Q58" i="2"/>
  <c r="M59" i="2"/>
  <c r="O60" i="2"/>
  <c r="P60" i="2"/>
  <c r="J60" i="10"/>
  <c r="AG53" i="7" l="1"/>
  <c r="AF53" i="7"/>
  <c r="O63" i="1"/>
  <c r="BL70" i="5" a="1"/>
  <c r="BL70" i="5" s="1"/>
  <c r="BS54" i="8"/>
  <c r="BY54" i="8" s="1"/>
  <c r="BO54" i="8"/>
  <c r="BK54" i="8"/>
  <c r="BL54" i="8"/>
  <c r="BI54" i="8"/>
  <c r="BJ54" i="8"/>
  <c r="BG54" i="8"/>
  <c r="BH54" i="8"/>
  <c r="BF54" i="8"/>
  <c r="AP54" i="5"/>
  <c r="AC54" i="10"/>
  <c r="X54" i="10" s="1"/>
  <c r="AO54" i="5"/>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AW55" i="5"/>
  <c r="CF55" i="8"/>
  <c r="AV55" i="5"/>
  <c r="BE55" i="8"/>
  <c r="BN55" i="8" s="1"/>
  <c r="AI55" i="5"/>
  <c r="W55" i="8"/>
  <c r="DA55" i="8"/>
  <c r="DB55" i="8" s="1"/>
  <c r="AJ55" i="5"/>
  <c r="AB55" i="8"/>
  <c r="BM55" i="8" s="1"/>
  <c r="B55" i="7"/>
  <c r="Q55" i="7" s="1"/>
  <c r="BR55" i="8"/>
  <c r="BT55" i="8" s="1"/>
  <c r="CJ55" i="8" s="1"/>
  <c r="CN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O53" i="8"/>
  <c r="N54" i="7"/>
  <c r="AF66" i="9"/>
  <c r="CK53" i="8"/>
  <c r="BU54" i="8"/>
  <c r="BX54" i="8"/>
  <c r="CO54" i="8" s="1"/>
  <c r="CP54" i="8" s="1"/>
  <c r="CC54" i="8"/>
  <c r="CS54" i="8" s="1"/>
  <c r="BV54" i="8"/>
  <c r="BW54" i="8"/>
  <c r="CM54" i="8" s="1"/>
  <c r="BT54" i="8"/>
  <c r="C56" i="5"/>
  <c r="F56" i="5" s="1"/>
  <c r="V56" i="2"/>
  <c r="AA53" i="11"/>
  <c r="AK53" i="1" s="1"/>
  <c r="Y53" i="11"/>
  <c r="AH53" i="1" s="1"/>
  <c r="N54" i="11"/>
  <c r="Z53" i="11"/>
  <c r="AB53" i="11"/>
  <c r="P53" i="8" s="1"/>
  <c r="AD53" i="11"/>
  <c r="AI53" i="1" s="1"/>
  <c r="AC53" i="11"/>
  <c r="T53" i="8" s="1"/>
  <c r="AQ53" i="5"/>
  <c r="AR53" i="5"/>
  <c r="CZ57" i="5"/>
  <c r="AE54" i="7"/>
  <c r="Q54" i="7"/>
  <c r="J57" i="2"/>
  <c r="AC56" i="1"/>
  <c r="DA56" i="5"/>
  <c r="DG56" i="5" s="1" a="1"/>
  <c r="DG56" i="5" s="1"/>
  <c r="AB57" i="1"/>
  <c r="DI57" i="5"/>
  <c r="AE66" i="9"/>
  <c r="AI66" i="9"/>
  <c r="AC128" i="9"/>
  <c r="N42" i="1"/>
  <c r="S59" i="2"/>
  <c r="N60" i="2"/>
  <c r="R60" i="2"/>
  <c r="Q59" i="2"/>
  <c r="O61" i="2"/>
  <c r="J61" i="10"/>
  <c r="P61" i="2"/>
  <c r="M60" i="2"/>
  <c r="AG54" i="7" l="1"/>
  <c r="AF54" i="7"/>
  <c r="O64" i="1"/>
  <c r="BL71" i="5" a="1"/>
  <c r="BL71" i="5" s="1"/>
  <c r="BZ54" i="8"/>
  <c r="CQ54" i="8" s="1"/>
  <c r="CR54" i="8" s="1"/>
  <c r="BO55" i="8"/>
  <c r="BK55" i="8"/>
  <c r="BL55" i="8"/>
  <c r="BI55" i="8"/>
  <c r="BJ55" i="8"/>
  <c r="BG55" i="8"/>
  <c r="BH55" i="8"/>
  <c r="BF55" i="8"/>
  <c r="AP55" i="5"/>
  <c r="AC55" i="10"/>
  <c r="X55" i="10" s="1"/>
  <c r="AO55" i="5"/>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O54" i="8"/>
  <c r="CU54" i="8"/>
  <c r="DA56" i="8"/>
  <c r="DB56" i="8" s="1"/>
  <c r="CF56" i="8"/>
  <c r="CB61" i="8"/>
  <c r="BR56" i="8"/>
  <c r="BD56" i="8"/>
  <c r="BP56" i="8" s="1"/>
  <c r="BE56" i="8"/>
  <c r="BN56" i="8" s="1"/>
  <c r="AF67" i="9"/>
  <c r="B54" i="14"/>
  <c r="AR54" i="5"/>
  <c r="AQ54" i="5"/>
  <c r="V57" i="2"/>
  <c r="AW56" i="5"/>
  <c r="A56" i="11"/>
  <c r="AB56" i="8"/>
  <c r="BM56" i="8" s="1"/>
  <c r="BT56" i="5"/>
  <c r="W56" i="8"/>
  <c r="AV56" i="5"/>
  <c r="AJ56" i="5"/>
  <c r="A56" i="10"/>
  <c r="AA56" i="10" s="1"/>
  <c r="B56" i="7"/>
  <c r="E56" i="1"/>
  <c r="AI56" i="5"/>
  <c r="B56" i="9"/>
  <c r="W56" i="9" s="1"/>
  <c r="CZ58" i="5"/>
  <c r="C57" i="5"/>
  <c r="F57" i="5" s="1"/>
  <c r="CK54" i="8"/>
  <c r="AB58" i="1"/>
  <c r="DI58" i="5"/>
  <c r="V58" i="2"/>
  <c r="AC57" i="1"/>
  <c r="DA57" i="5"/>
  <c r="DG57" i="5" s="1" a="1"/>
  <c r="DG57" i="5" s="1"/>
  <c r="AE67" i="9"/>
  <c r="AI67" i="9"/>
  <c r="AC129" i="9"/>
  <c r="N43" i="1"/>
  <c r="S60" i="2"/>
  <c r="N61" i="2"/>
  <c r="R61" i="2"/>
  <c r="Q60" i="2"/>
  <c r="O62" i="2"/>
  <c r="J62" i="10"/>
  <c r="M61" i="2"/>
  <c r="P62" i="2"/>
  <c r="AG55" i="7" l="1"/>
  <c r="AF55" i="7"/>
  <c r="O65" i="1"/>
  <c r="AP56" i="5"/>
  <c r="BL72" i="5" a="1"/>
  <c r="BL72" i="5" s="1"/>
  <c r="BO56" i="8"/>
  <c r="BK56" i="8"/>
  <c r="BL56" i="8"/>
  <c r="BI56" i="8"/>
  <c r="BJ56" i="8"/>
  <c r="BG56" i="8"/>
  <c r="BH56" i="8"/>
  <c r="BF56" i="8"/>
  <c r="AC56" i="10"/>
  <c r="X56" i="10" s="1"/>
  <c r="AO56" i="5"/>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F68" i="9"/>
  <c r="AW57" i="5"/>
  <c r="AI57" i="5"/>
  <c r="A57" i="11"/>
  <c r="AB57" i="8"/>
  <c r="BM57" i="8" s="1"/>
  <c r="BT57" i="5"/>
  <c r="A57" i="10"/>
  <c r="AA57" i="10" s="1"/>
  <c r="B57" i="7"/>
  <c r="AV57" i="5"/>
  <c r="W57" i="8"/>
  <c r="E57" i="1"/>
  <c r="AJ57" i="5"/>
  <c r="B57" i="9"/>
  <c r="W57" i="9" s="1"/>
  <c r="CC56" i="8"/>
  <c r="CS56" i="8" s="1"/>
  <c r="BV56" i="8"/>
  <c r="BW56" i="8"/>
  <c r="CM56" i="8" s="1"/>
  <c r="BT56" i="8"/>
  <c r="BU56" i="8"/>
  <c r="BX56" i="8"/>
  <c r="CO56" i="8" s="1"/>
  <c r="CP56" i="8" s="1"/>
  <c r="J58" i="2"/>
  <c r="AE56" i="7"/>
  <c r="Q56" i="7"/>
  <c r="C58" i="5"/>
  <c r="F58" i="5" s="1"/>
  <c r="CZ59" i="5"/>
  <c r="AA55" i="11"/>
  <c r="AK55" i="1" s="1"/>
  <c r="Y55" i="11"/>
  <c r="AH55" i="1" s="1"/>
  <c r="AC55" i="11"/>
  <c r="T55" i="8" s="1"/>
  <c r="N56" i="11"/>
  <c r="AB55" i="11"/>
  <c r="P55" i="8" s="1"/>
  <c r="Z55" i="11"/>
  <c r="AD55" i="11"/>
  <c r="AI55" i="1" s="1"/>
  <c r="V59" i="2"/>
  <c r="AC58" i="1"/>
  <c r="DA58" i="5"/>
  <c r="DG58" i="5" s="1" a="1"/>
  <c r="DG58" i="5" s="1"/>
  <c r="AB59" i="1"/>
  <c r="DI59" i="5"/>
  <c r="AE68" i="9"/>
  <c r="AI68" i="9"/>
  <c r="AC130" i="9"/>
  <c r="N44" i="1"/>
  <c r="S61" i="2"/>
  <c r="N62" i="2"/>
  <c r="R62" i="2"/>
  <c r="Q61" i="2"/>
  <c r="P63" i="2"/>
  <c r="J63" i="10"/>
  <c r="M62" i="2"/>
  <c r="O63" i="2"/>
  <c r="AG56" i="7" l="1"/>
  <c r="AF56" i="7"/>
  <c r="O66" i="1"/>
  <c r="BL73" i="5" a="1"/>
  <c r="BL73" i="5" s="1"/>
  <c r="BS57" i="8"/>
  <c r="BZ57" i="8" s="1"/>
  <c r="BO57" i="8"/>
  <c r="BK57" i="8"/>
  <c r="BL57" i="8"/>
  <c r="BI57" i="8"/>
  <c r="BJ57" i="8"/>
  <c r="AN57" i="5"/>
  <c r="BG57" i="8"/>
  <c r="BH57" i="8"/>
  <c r="BF57" i="8"/>
  <c r="AP57" i="5"/>
  <c r="AC57" i="10"/>
  <c r="X57" i="10" s="1"/>
  <c r="AO57" i="5"/>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F69" i="9"/>
  <c r="B56" i="14"/>
  <c r="AQ56" i="5"/>
  <c r="AR56" i="5"/>
  <c r="CK56" i="8"/>
  <c r="O56" i="8"/>
  <c r="C59" i="5"/>
  <c r="F59" i="5" s="1"/>
  <c r="CZ60" i="5"/>
  <c r="AW58" i="5"/>
  <c r="AI58" i="5"/>
  <c r="A58" i="11"/>
  <c r="B58" i="9"/>
  <c r="W58" i="9" s="1"/>
  <c r="AV58" i="5"/>
  <c r="AB58" i="8"/>
  <c r="BM58" i="8" s="1"/>
  <c r="BT58" i="5"/>
  <c r="AJ58" i="5"/>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B60" i="1"/>
  <c r="DI60" i="5"/>
  <c r="V60" i="2"/>
  <c r="AC59" i="1"/>
  <c r="DA59" i="5"/>
  <c r="DG59" i="5" s="1" a="1"/>
  <c r="DG59" i="5" s="1"/>
  <c r="AE69" i="9"/>
  <c r="AI69" i="9"/>
  <c r="AC131" i="9"/>
  <c r="N45" i="1"/>
  <c r="S62" i="2"/>
  <c r="N63" i="2"/>
  <c r="R63" i="2"/>
  <c r="Q62" i="2"/>
  <c r="O64" i="2"/>
  <c r="J64" i="10"/>
  <c r="P64" i="2"/>
  <c r="M63" i="2"/>
  <c r="AG57" i="7" l="1"/>
  <c r="AF57" i="7"/>
  <c r="O67" i="1"/>
  <c r="BL74" i="5" a="1"/>
  <c r="BL74" i="5" s="1"/>
  <c r="BY57" i="8"/>
  <c r="CQ57" i="8" s="1"/>
  <c r="CR57" i="8" s="1"/>
  <c r="BS58" i="8"/>
  <c r="BY58" i="8" s="1"/>
  <c r="BO58" i="8"/>
  <c r="BK58" i="8"/>
  <c r="BL58" i="8"/>
  <c r="BI58" i="8"/>
  <c r="BJ58" i="8"/>
  <c r="BG58" i="8"/>
  <c r="BH58" i="8"/>
  <c r="BF58" i="8"/>
  <c r="AP58" i="5"/>
  <c r="AC58" i="10"/>
  <c r="X58" i="10" s="1"/>
  <c r="AO58" i="5"/>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F70" i="9"/>
  <c r="B57" i="14"/>
  <c r="AR57" i="5"/>
  <c r="AQ57" i="5"/>
  <c r="CK57" i="8"/>
  <c r="J60" i="2"/>
  <c r="CZ61" i="5"/>
  <c r="C60" i="5"/>
  <c r="F60" i="5" s="1"/>
  <c r="AE58" i="7"/>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W59" i="5"/>
  <c r="A59" i="11"/>
  <c r="A59" i="10"/>
  <c r="AA59" i="10" s="1"/>
  <c r="B59" i="7"/>
  <c r="AB59" i="8"/>
  <c r="BM59" i="8" s="1"/>
  <c r="BT59" i="5"/>
  <c r="AV59" i="5"/>
  <c r="W59" i="8"/>
  <c r="E59" i="1"/>
  <c r="AJ59" i="5"/>
  <c r="B59" i="9"/>
  <c r="W59" i="9" s="1"/>
  <c r="AI59" i="5"/>
  <c r="V61" i="2"/>
  <c r="AC60" i="1"/>
  <c r="DA60" i="5"/>
  <c r="DG60" i="5" s="1" a="1"/>
  <c r="DG60" i="5" s="1"/>
  <c r="AB61" i="1"/>
  <c r="DI61" i="5"/>
  <c r="AE70" i="9"/>
  <c r="AI70" i="9"/>
  <c r="AC132" i="9"/>
  <c r="N46" i="1"/>
  <c r="S63" i="2"/>
  <c r="N64" i="2"/>
  <c r="R64" i="2"/>
  <c r="Q63" i="2"/>
  <c r="J65" i="10"/>
  <c r="P65" i="2"/>
  <c r="O65" i="2"/>
  <c r="M64" i="2"/>
  <c r="AG58" i="7" l="1"/>
  <c r="AF58" i="7"/>
  <c r="O68" i="1"/>
  <c r="BL75" i="5" a="1"/>
  <c r="BL75" i="5" s="1"/>
  <c r="O57" i="8"/>
  <c r="BZ58" i="8"/>
  <c r="CQ58" i="8" s="1"/>
  <c r="CR58" i="8" s="1"/>
  <c r="BS59" i="8"/>
  <c r="BY59" i="8" s="1"/>
  <c r="BO59" i="8"/>
  <c r="AP59" i="5"/>
  <c r="BK59" i="8"/>
  <c r="BL59" i="8"/>
  <c r="BI59" i="8"/>
  <c r="BJ59" i="8"/>
  <c r="BG59" i="8"/>
  <c r="BH59" i="8"/>
  <c r="BF59" i="8"/>
  <c r="AC59" i="10"/>
  <c r="X59" i="10" s="1"/>
  <c r="AO59" i="5"/>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CY57" i="8" s="1"/>
  <c r="G57" i="1" s="1"/>
  <c r="M57" i="8" s="1"/>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O58" i="8"/>
  <c r="DA60" i="8"/>
  <c r="DB60" i="8" s="1"/>
  <c r="CF60" i="8"/>
  <c r="CB65" i="8"/>
  <c r="BR60" i="8"/>
  <c r="N59" i="7"/>
  <c r="BD60" i="8"/>
  <c r="BP60" i="8" s="1"/>
  <c r="BE60" i="8"/>
  <c r="BN60" i="8" s="1"/>
  <c r="AF71" i="9"/>
  <c r="B58" i="14"/>
  <c r="AQ58" i="5"/>
  <c r="AR58" i="5"/>
  <c r="AE59" i="7"/>
  <c r="Q59" i="7"/>
  <c r="AA58" i="11"/>
  <c r="AK58" i="1" s="1"/>
  <c r="Y58" i="11"/>
  <c r="AH58" i="1" s="1"/>
  <c r="N59" i="11"/>
  <c r="Z58" i="11"/>
  <c r="AB58" i="11"/>
  <c r="P58" i="8" s="1"/>
  <c r="AC58" i="11"/>
  <c r="T58" i="8" s="1"/>
  <c r="AD58" i="11"/>
  <c r="AI58" i="1" s="1"/>
  <c r="AW60" i="5"/>
  <c r="A60" i="10"/>
  <c r="AA60" i="10" s="1"/>
  <c r="B60" i="7"/>
  <c r="E60" i="1"/>
  <c r="A60" i="11"/>
  <c r="AI60" i="5"/>
  <c r="B60" i="9"/>
  <c r="W60" i="9" s="1"/>
  <c r="AV60" i="5"/>
  <c r="AJ60" i="5"/>
  <c r="AB60" i="8"/>
  <c r="BM60" i="8" s="1"/>
  <c r="BT60" i="5"/>
  <c r="W60" i="8"/>
  <c r="C61" i="5"/>
  <c r="F61" i="5" s="1"/>
  <c r="CZ62" i="5"/>
  <c r="CK58" i="8"/>
  <c r="J61" i="2"/>
  <c r="BX59" i="8"/>
  <c r="CO59" i="8" s="1"/>
  <c r="CP59" i="8" s="1"/>
  <c r="BV59" i="8"/>
  <c r="BW59" i="8"/>
  <c r="CM59" i="8" s="1"/>
  <c r="BT59" i="8"/>
  <c r="BU59" i="8"/>
  <c r="CC59" i="8"/>
  <c r="CS59" i="8" s="1"/>
  <c r="DI62" i="5"/>
  <c r="AB62" i="1"/>
  <c r="V62" i="2"/>
  <c r="AC61" i="1"/>
  <c r="DA61" i="5"/>
  <c r="DG61" i="5" s="1" a="1"/>
  <c r="DG61" i="5" s="1"/>
  <c r="AE71" i="9"/>
  <c r="AI71" i="9"/>
  <c r="AC133" i="9"/>
  <c r="N47" i="1"/>
  <c r="S64" i="2"/>
  <c r="N65" i="2"/>
  <c r="R65" i="2"/>
  <c r="Q64" i="2"/>
  <c r="J66" i="10"/>
  <c r="O66" i="2"/>
  <c r="P66" i="2"/>
  <c r="M65" i="2"/>
  <c r="AG59" i="7" l="1"/>
  <c r="AF59" i="7"/>
  <c r="O69" i="1"/>
  <c r="BL76" i="5" a="1"/>
  <c r="BL76" i="5" s="1"/>
  <c r="BZ59" i="8"/>
  <c r="CQ59" i="8" s="1"/>
  <c r="CR59" i="8" s="1"/>
  <c r="AP60" i="5"/>
  <c r="BO60" i="8"/>
  <c r="BK60" i="8"/>
  <c r="BL60" i="8"/>
  <c r="BI60" i="8"/>
  <c r="BJ60" i="8"/>
  <c r="BG60" i="8"/>
  <c r="BH60" i="8"/>
  <c r="BF60" i="8"/>
  <c r="AC60" i="10"/>
  <c r="X60" i="10" s="1"/>
  <c r="AO60" i="5"/>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F72" i="9"/>
  <c r="B59" i="14"/>
  <c r="CK59" i="8"/>
  <c r="CZ63" i="5"/>
  <c r="AW61" i="5"/>
  <c r="BT61" i="5"/>
  <c r="E61" i="1"/>
  <c r="AB61" i="8"/>
  <c r="BM61" i="8" s="1"/>
  <c r="B61" i="7"/>
  <c r="AV61" i="5"/>
  <c r="A61" i="10"/>
  <c r="AA61" i="10" s="1"/>
  <c r="AJ61" i="5"/>
  <c r="W61" i="8"/>
  <c r="AI61" i="5"/>
  <c r="B61" i="9"/>
  <c r="W61" i="9" s="1"/>
  <c r="A61" i="11"/>
  <c r="Y59" i="11"/>
  <c r="AH59" i="1" s="1"/>
  <c r="AB59" i="11"/>
  <c r="P59" i="8" s="1"/>
  <c r="N60" i="11"/>
  <c r="AA59" i="11"/>
  <c r="AK59" i="1" s="1"/>
  <c r="AD59" i="11"/>
  <c r="AI59" i="1" s="1"/>
  <c r="Z59" i="11"/>
  <c r="AC59" i="11"/>
  <c r="T59" i="8" s="1"/>
  <c r="AQ59" i="5"/>
  <c r="AR59" i="5"/>
  <c r="AE60" i="7"/>
  <c r="Q60" i="7"/>
  <c r="J62" i="2"/>
  <c r="C62" i="5"/>
  <c r="F62" i="5" s="1"/>
  <c r="BX60" i="8"/>
  <c r="CO60" i="8" s="1"/>
  <c r="CP60" i="8" s="1"/>
  <c r="CC60" i="8"/>
  <c r="CS60" i="8" s="1"/>
  <c r="BV60" i="8"/>
  <c r="BW60" i="8"/>
  <c r="CM60" i="8" s="1"/>
  <c r="BU60" i="8"/>
  <c r="BT60" i="8"/>
  <c r="O59" i="8"/>
  <c r="V63" i="2"/>
  <c r="AC62" i="1"/>
  <c r="DA62" i="5"/>
  <c r="DG62" i="5" s="1" a="1"/>
  <c r="DG62" i="5" s="1"/>
  <c r="AB63" i="1"/>
  <c r="DI63" i="5"/>
  <c r="AE72" i="9"/>
  <c r="AI72" i="9"/>
  <c r="AC134" i="9"/>
  <c r="N48" i="1"/>
  <c r="S65" i="2"/>
  <c r="N66" i="2"/>
  <c r="R66" i="2"/>
  <c r="Q65" i="2"/>
  <c r="O67" i="2"/>
  <c r="J67" i="10"/>
  <c r="M66" i="2"/>
  <c r="P67" i="2"/>
  <c r="AG60" i="7" l="1"/>
  <c r="AF60" i="7"/>
  <c r="O70" i="1"/>
  <c r="BL77" i="5" a="1"/>
  <c r="BL77" i="5" s="1"/>
  <c r="BS61" i="8"/>
  <c r="BZ61" i="8" s="1"/>
  <c r="BO61" i="8"/>
  <c r="BK61" i="8"/>
  <c r="BL61" i="8"/>
  <c r="BI61" i="8"/>
  <c r="BJ61" i="8"/>
  <c r="BG61" i="8"/>
  <c r="BH61" i="8"/>
  <c r="BF61" i="8"/>
  <c r="AP61" i="5"/>
  <c r="AC61" i="10"/>
  <c r="X61" i="10" s="1"/>
  <c r="AO61" i="5"/>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F73" i="9"/>
  <c r="AI60" i="7"/>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J63" i="2"/>
  <c r="O60" i="8"/>
  <c r="C63" i="5"/>
  <c r="F63" i="5" s="1"/>
  <c r="AW62" i="5"/>
  <c r="B62" i="9"/>
  <c r="W62" i="9" s="1"/>
  <c r="AI62" i="5"/>
  <c r="A62" i="11"/>
  <c r="AB62" i="8"/>
  <c r="BM62" i="8" s="1"/>
  <c r="BT62" i="5"/>
  <c r="A62" i="10"/>
  <c r="AA62" i="10" s="1"/>
  <c r="B62" i="7"/>
  <c r="AV62" i="5"/>
  <c r="W62" i="8"/>
  <c r="E62" i="1"/>
  <c r="AJ62" i="5"/>
  <c r="AQ60" i="5"/>
  <c r="AB64" i="1"/>
  <c r="DI64" i="5"/>
  <c r="V64" i="2"/>
  <c r="AC63" i="1"/>
  <c r="DA63" i="5"/>
  <c r="DG63" i="5" s="1" a="1"/>
  <c r="DG63" i="5" s="1"/>
  <c r="AE73" i="9"/>
  <c r="AI73" i="9"/>
  <c r="AC135" i="9"/>
  <c r="N49" i="1"/>
  <c r="S66" i="2"/>
  <c r="N67" i="2"/>
  <c r="R67" i="2"/>
  <c r="Q66" i="2"/>
  <c r="P68" i="2"/>
  <c r="O68" i="2"/>
  <c r="J68" i="10"/>
  <c r="M67" i="2"/>
  <c r="AG61" i="7" l="1"/>
  <c r="AF61" i="7"/>
  <c r="O71" i="1"/>
  <c r="BL78" i="5" a="1"/>
  <c r="BL78" i="5" s="1"/>
  <c r="BY61" i="8"/>
  <c r="CQ61" i="8" s="1"/>
  <c r="CR61" i="8" s="1"/>
  <c r="BS62" i="8"/>
  <c r="BY62" i="8" s="1"/>
  <c r="BO62" i="8"/>
  <c r="BK62" i="8"/>
  <c r="BL62" i="8"/>
  <c r="BI62" i="8"/>
  <c r="BJ62" i="8"/>
  <c r="BG62" i="8"/>
  <c r="BH62" i="8"/>
  <c r="BF62" i="8"/>
  <c r="AP62" i="5"/>
  <c r="AC62" i="10"/>
  <c r="X62" i="10" s="1"/>
  <c r="AO62" i="5"/>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F74" i="9"/>
  <c r="AW63" i="5"/>
  <c r="AJ63" i="5"/>
  <c r="W63" i="8"/>
  <c r="E63" i="1"/>
  <c r="A63" i="10"/>
  <c r="AA63" i="10" s="1"/>
  <c r="B63" i="7"/>
  <c r="AI63" i="5"/>
  <c r="B63" i="9"/>
  <c r="W63" i="9" s="1"/>
  <c r="A63" i="11"/>
  <c r="AV63" i="5"/>
  <c r="AB63" i="8"/>
  <c r="BM63" i="8" s="1"/>
  <c r="BT63" i="5"/>
  <c r="B61" i="14"/>
  <c r="AI61" i="7"/>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E62" i="7"/>
  <c r="Q62" i="7"/>
  <c r="C65" i="5"/>
  <c r="AC64" i="1"/>
  <c r="DA64" i="5"/>
  <c r="DG64" i="5" s="1" a="1"/>
  <c r="DG64" i="5" s="1"/>
  <c r="AB65" i="1"/>
  <c r="DI65" i="5"/>
  <c r="AE74" i="9"/>
  <c r="AI74" i="9"/>
  <c r="AC136" i="9"/>
  <c r="N50" i="1"/>
  <c r="S67" i="2"/>
  <c r="N68" i="2"/>
  <c r="R68" i="2"/>
  <c r="Q67" i="2"/>
  <c r="J69" i="10"/>
  <c r="M68" i="2"/>
  <c r="O69" i="2"/>
  <c r="P69" i="2"/>
  <c r="AG62" i="7" l="1"/>
  <c r="AF62" i="7"/>
  <c r="O72" i="1"/>
  <c r="O61" i="8"/>
  <c r="BL79" i="5" a="1"/>
  <c r="BL79" i="5" s="1"/>
  <c r="BZ62" i="8"/>
  <c r="CQ62" i="8" s="1"/>
  <c r="CR62" i="8" s="1"/>
  <c r="BO63" i="8"/>
  <c r="BK63" i="8"/>
  <c r="BL63" i="8"/>
  <c r="AP63" i="5"/>
  <c r="BI63" i="8"/>
  <c r="BJ63" i="8"/>
  <c r="BG63" i="8"/>
  <c r="BH63" i="8"/>
  <c r="BF63" i="8"/>
  <c r="AN63" i="5"/>
  <c r="AC63" i="10"/>
  <c r="X63" i="10" s="1"/>
  <c r="AO63" i="5"/>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CY61" i="8" s="1"/>
  <c r="G61" i="1" s="1"/>
  <c r="M61" i="8" s="1"/>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F75" i="9"/>
  <c r="AQ62" i="5"/>
  <c r="AR62" i="5"/>
  <c r="CK62" i="8"/>
  <c r="AA62" i="11"/>
  <c r="AK62" i="1" s="1"/>
  <c r="Z62" i="11"/>
  <c r="AB62" i="11"/>
  <c r="P62" i="8" s="1"/>
  <c r="AD62" i="11"/>
  <c r="AI62" i="1" s="1"/>
  <c r="AC62" i="11"/>
  <c r="T62" i="8" s="1"/>
  <c r="Y62" i="11"/>
  <c r="AH62" i="1" s="1"/>
  <c r="N63" i="11"/>
  <c r="O62" i="8"/>
  <c r="BV63" i="8"/>
  <c r="BW63" i="8"/>
  <c r="CM63" i="8" s="1"/>
  <c r="BT63" i="8"/>
  <c r="BU63" i="8"/>
  <c r="BX63" i="8"/>
  <c r="CO63" i="8" s="1"/>
  <c r="CP63" i="8" s="1"/>
  <c r="CC63" i="8"/>
  <c r="CS63" i="8" s="1"/>
  <c r="B62" i="14"/>
  <c r="AI62" i="7"/>
  <c r="J65" i="2"/>
  <c r="Q63" i="7"/>
  <c r="AE63" i="7"/>
  <c r="CZ66" i="5"/>
  <c r="V65" i="2"/>
  <c r="AW64" i="5"/>
  <c r="AI64" i="5"/>
  <c r="B64" i="9"/>
  <c r="W64" i="9" s="1"/>
  <c r="B64" i="7"/>
  <c r="A64" i="11"/>
  <c r="A64" i="10"/>
  <c r="AA64" i="10" s="1"/>
  <c r="AB64" i="8"/>
  <c r="BM64" i="8" s="1"/>
  <c r="BT64" i="5"/>
  <c r="AV64" i="5"/>
  <c r="AJ64" i="5"/>
  <c r="W64" i="8"/>
  <c r="E64" i="1"/>
  <c r="AB66" i="1"/>
  <c r="DI66" i="5"/>
  <c r="C66" i="5"/>
  <c r="AC65" i="1"/>
  <c r="DA65" i="5"/>
  <c r="DG65" i="5" s="1" a="1"/>
  <c r="DG65" i="5" s="1"/>
  <c r="AE75" i="9"/>
  <c r="AI75" i="9"/>
  <c r="N51" i="1"/>
  <c r="S68" i="2"/>
  <c r="N69" i="2"/>
  <c r="R69" i="2"/>
  <c r="Q68" i="2"/>
  <c r="O70" i="2"/>
  <c r="M69" i="2"/>
  <c r="J70" i="10"/>
  <c r="P70" i="2"/>
  <c r="AG63" i="7" l="1"/>
  <c r="AF63" i="7"/>
  <c r="O73" i="1"/>
  <c r="BL80" i="5" a="1"/>
  <c r="BL80" i="5" s="1"/>
  <c r="BS64" i="8"/>
  <c r="BZ64" i="8" s="1"/>
  <c r="BO64" i="8"/>
  <c r="BK64" i="8"/>
  <c r="BL64" i="8"/>
  <c r="BI64" i="8"/>
  <c r="BJ64" i="8"/>
  <c r="BG64" i="8"/>
  <c r="BH64" i="8"/>
  <c r="BF64" i="8"/>
  <c r="AP64" i="5"/>
  <c r="AC64" i="10"/>
  <c r="X64" i="10" s="1"/>
  <c r="AO64" i="5"/>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W65" i="9" s="1"/>
  <c r="AJ65" i="5"/>
  <c r="AP65" i="5" s="1"/>
  <c r="BE65" i="8"/>
  <c r="BN65" i="8" s="1"/>
  <c r="B65" i="7"/>
  <c r="Q65" i="7" s="1"/>
  <c r="BD65" i="8"/>
  <c r="BP65" i="8" s="1"/>
  <c r="BT65" i="5"/>
  <c r="A65" i="10"/>
  <c r="AA65" i="10" s="1"/>
  <c r="DA65" i="8"/>
  <c r="DB65" i="8" s="1"/>
  <c r="F66" i="5"/>
  <c r="AV65" i="5"/>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F76" i="9"/>
  <c r="BY64" i="8"/>
  <c r="CK63" i="8"/>
  <c r="AQ63" i="5"/>
  <c r="J66" i="2"/>
  <c r="AR63" i="5"/>
  <c r="V66" i="2"/>
  <c r="AD63" i="11"/>
  <c r="AI63" i="1" s="1"/>
  <c r="AB63" i="11"/>
  <c r="P63" i="8" s="1"/>
  <c r="AC63" i="11"/>
  <c r="T63" i="8" s="1"/>
  <c r="Y63" i="11"/>
  <c r="AH63" i="1" s="1"/>
  <c r="N64" i="11"/>
  <c r="Z63" i="11"/>
  <c r="AA63" i="11"/>
  <c r="AK63" i="1" s="1"/>
  <c r="Q64" i="7"/>
  <c r="AE64" i="7"/>
  <c r="O63" i="8"/>
  <c r="CZ67" i="5"/>
  <c r="B63" i="14"/>
  <c r="AI63" i="7"/>
  <c r="BT64" i="8"/>
  <c r="BU64" i="8"/>
  <c r="CC64" i="8"/>
  <c r="CS64" i="8" s="1"/>
  <c r="BX64" i="8"/>
  <c r="CO64" i="8" s="1"/>
  <c r="CP64" i="8" s="1"/>
  <c r="BV64" i="8"/>
  <c r="BW64" i="8"/>
  <c r="CM64" i="8" s="1"/>
  <c r="V67" i="2"/>
  <c r="AC66" i="1"/>
  <c r="DA66" i="5"/>
  <c r="DG66" i="5" s="1" a="1"/>
  <c r="DG66" i="5" s="1"/>
  <c r="AB67" i="1"/>
  <c r="DI67" i="5"/>
  <c r="AE76" i="9"/>
  <c r="AI76" i="9"/>
  <c r="N52" i="1"/>
  <c r="S69" i="2"/>
  <c r="N70" i="2"/>
  <c r="R70" i="2"/>
  <c r="Q69" i="2"/>
  <c r="J71" i="10"/>
  <c r="O71" i="2"/>
  <c r="P71" i="2"/>
  <c r="M70" i="2"/>
  <c r="AG64" i="7" l="1"/>
  <c r="AF64" i="7"/>
  <c r="O74" i="1"/>
  <c r="BL81" i="5" a="1"/>
  <c r="BL81" i="5" s="1"/>
  <c r="CQ64" i="8"/>
  <c r="CR64" i="8" s="1"/>
  <c r="BO65" i="8"/>
  <c r="BK65" i="8"/>
  <c r="BL65" i="8"/>
  <c r="BI65" i="8"/>
  <c r="BJ65" i="8"/>
  <c r="BG65" i="8"/>
  <c r="BH65" i="8"/>
  <c r="BF65" i="8"/>
  <c r="AO65" i="5"/>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CJ65" i="8" s="1"/>
  <c r="CN65" i="8" s="1"/>
  <c r="BW65" i="8"/>
  <c r="CM65" i="8" s="1"/>
  <c r="AV66" i="5"/>
  <c r="E66" i="1"/>
  <c r="BX65" i="8"/>
  <c r="CO65" i="8" s="1"/>
  <c r="CP65" i="8" s="1"/>
  <c r="BU65" i="8"/>
  <c r="CK65" i="8" s="1"/>
  <c r="B66" i="7"/>
  <c r="AE66" i="7" s="1"/>
  <c r="B66" i="9"/>
  <c r="W66" i="9" s="1"/>
  <c r="AW66" i="5"/>
  <c r="CC65" i="8"/>
  <c r="CS65" i="8" s="1"/>
  <c r="BE66" i="8"/>
  <c r="BN66" i="8" s="1"/>
  <c r="DA66" i="8"/>
  <c r="DB66" i="8" s="1"/>
  <c r="W66" i="8"/>
  <c r="A66" i="11"/>
  <c r="Y65" i="11" s="1"/>
  <c r="AH65" i="1" s="1"/>
  <c r="A66" i="10"/>
  <c r="AA66" i="10" s="1"/>
  <c r="AJ66" i="5"/>
  <c r="CF66" i="8"/>
  <c r="BT66" i="5"/>
  <c r="BD66" i="8"/>
  <c r="BP66" i="8" s="1"/>
  <c r="AB66" i="8"/>
  <c r="BM66" i="8" s="1"/>
  <c r="AI66" i="5"/>
  <c r="AC64" i="11"/>
  <c r="T64" i="8" s="1"/>
  <c r="D66" i="9"/>
  <c r="AA64" i="11"/>
  <c r="AK64" i="1" s="1"/>
  <c r="AD64" i="11"/>
  <c r="AI64" i="1" s="1"/>
  <c r="Z64" i="11"/>
  <c r="N65" i="11"/>
  <c r="Y64" i="11"/>
  <c r="AH64" i="1" s="1"/>
  <c r="N65" i="7"/>
  <c r="BS65" i="8"/>
  <c r="BY65" i="8" s="1"/>
  <c r="AE65" i="7"/>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O64" i="8"/>
  <c r="AR64" i="5"/>
  <c r="AQ64" i="5"/>
  <c r="CK64" i="8"/>
  <c r="J67" i="2"/>
  <c r="CZ68" i="5"/>
  <c r="B64" i="14"/>
  <c r="AI64" i="7"/>
  <c r="C67" i="5"/>
  <c r="F67" i="5" s="1"/>
  <c r="AB68" i="1"/>
  <c r="DI68" i="5"/>
  <c r="V68" i="2"/>
  <c r="AC67" i="1"/>
  <c r="DA67" i="5"/>
  <c r="DG67" i="5" s="1" a="1"/>
  <c r="DG67" i="5" s="1"/>
  <c r="AE77" i="9"/>
  <c r="AI77" i="9"/>
  <c r="N53" i="1"/>
  <c r="S70" i="2"/>
  <c r="N71" i="2"/>
  <c r="R71" i="2"/>
  <c r="Q70" i="2"/>
  <c r="O72" i="2"/>
  <c r="M71" i="2"/>
  <c r="J72" i="10"/>
  <c r="P72" i="2"/>
  <c r="AG65" i="7" l="1"/>
  <c r="AI65" i="7" s="1"/>
  <c r="AF65" i="7"/>
  <c r="AG66" i="7"/>
  <c r="AI66" i="7" s="1"/>
  <c r="AF66" i="7"/>
  <c r="O75" i="1"/>
  <c r="BL82" i="5" a="1"/>
  <c r="BL82" i="5" s="1"/>
  <c r="BS66" i="8"/>
  <c r="BZ66" i="8" s="1"/>
  <c r="BO66" i="8"/>
  <c r="BK66" i="8"/>
  <c r="BL66" i="8"/>
  <c r="BI66" i="8"/>
  <c r="BJ66" i="8"/>
  <c r="BG66" i="8"/>
  <c r="BH66" i="8"/>
  <c r="BF66" i="8"/>
  <c r="AP66" i="5"/>
  <c r="AC66" i="10"/>
  <c r="X66" i="10" s="1"/>
  <c r="AO66" i="5"/>
  <c r="AM66" i="5"/>
  <c r="AN66" i="5"/>
  <c r="AH70" i="11"/>
  <c r="AR65" i="5"/>
  <c r="AS70" i="5"/>
  <c r="E74" i="8"/>
  <c r="BW66" i="8"/>
  <c r="CM66" i="8" s="1"/>
  <c r="BT66" i="8"/>
  <c r="CJ66" i="8" s="1"/>
  <c r="CN66" i="8" s="1"/>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O65" i="8"/>
  <c r="CL64" i="8"/>
  <c r="CY64" i="8" s="1"/>
  <c r="G64" i="1" s="1"/>
  <c r="M64" i="8" s="1"/>
  <c r="B69" i="5"/>
  <c r="CL65" i="8"/>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F78" i="9"/>
  <c r="J68" i="2"/>
  <c r="C68" i="5"/>
  <c r="F68" i="5" s="1"/>
  <c r="CZ69" i="5"/>
  <c r="AW67" i="5"/>
  <c r="AI67" i="5"/>
  <c r="B67" i="9"/>
  <c r="W67" i="9" s="1"/>
  <c r="A67" i="11"/>
  <c r="AB67" i="8"/>
  <c r="BM67" i="8" s="1"/>
  <c r="BT67" i="5"/>
  <c r="B67" i="7"/>
  <c r="W67" i="8"/>
  <c r="E67" i="1"/>
  <c r="AV67" i="5"/>
  <c r="A67" i="10"/>
  <c r="AA67" i="10" s="1"/>
  <c r="AJ67" i="5"/>
  <c r="V69" i="2"/>
  <c r="AC68" i="1"/>
  <c r="DA68" i="5"/>
  <c r="DG68" i="5" s="1" a="1"/>
  <c r="DG68" i="5" s="1"/>
  <c r="AB69" i="1"/>
  <c r="DI69" i="5"/>
  <c r="AE78" i="9"/>
  <c r="AI78" i="9"/>
  <c r="N54" i="1"/>
  <c r="S71" i="2"/>
  <c r="N72" i="2"/>
  <c r="R72" i="2"/>
  <c r="Q71" i="2"/>
  <c r="M72" i="2"/>
  <c r="P73" i="2"/>
  <c r="J73" i="10"/>
  <c r="O73" i="2"/>
  <c r="O76" i="1" l="1"/>
  <c r="BL83" i="5" a="1"/>
  <c r="BL83" i="5" s="1"/>
  <c r="BY66" i="8"/>
  <c r="CQ66" i="8" s="1"/>
  <c r="CR66" i="8" s="1"/>
  <c r="BO67" i="8"/>
  <c r="BP67" i="8"/>
  <c r="AH71" i="11"/>
  <c r="BK67" i="8"/>
  <c r="BL67" i="8"/>
  <c r="BI67" i="8"/>
  <c r="BJ67" i="8"/>
  <c r="BG67" i="8"/>
  <c r="BH67" i="8"/>
  <c r="BF67" i="8"/>
  <c r="AP67" i="5"/>
  <c r="AC67" i="10"/>
  <c r="X67" i="10" s="1"/>
  <c r="AO67" i="5"/>
  <c r="AM67" i="5"/>
  <c r="AN67" i="5"/>
  <c r="AJ71" i="1"/>
  <c r="AS71" i="5"/>
  <c r="E75" i="8"/>
  <c r="CK66" i="8"/>
  <c r="CL66" i="8" s="1"/>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F79" i="9"/>
  <c r="C69" i="5"/>
  <c r="F69" i="5" s="1"/>
  <c r="J69" i="2"/>
  <c r="AE67" i="7"/>
  <c r="Q67" i="7"/>
  <c r="CZ70" i="5"/>
  <c r="CD67" i="8"/>
  <c r="CT67" i="8" s="1"/>
  <c r="AA66" i="11"/>
  <c r="AK66" i="1" s="1"/>
  <c r="Y66" i="11"/>
  <c r="AH66" i="1" s="1"/>
  <c r="AC66" i="11"/>
  <c r="T66" i="8" s="1"/>
  <c r="AB66" i="11"/>
  <c r="P66" i="8" s="1"/>
  <c r="AD66" i="11"/>
  <c r="AI66" i="1" s="1"/>
  <c r="N67" i="11"/>
  <c r="Z66" i="11"/>
  <c r="AW68" i="5"/>
  <c r="AB68" i="8"/>
  <c r="BM68" i="8" s="1"/>
  <c r="W68" i="8"/>
  <c r="AI68" i="5"/>
  <c r="A68" i="11"/>
  <c r="BT68" i="5"/>
  <c r="A68" i="10"/>
  <c r="AA68" i="10" s="1"/>
  <c r="B68" i="7"/>
  <c r="AV68" i="5"/>
  <c r="E68" i="1"/>
  <c r="AJ68" i="5"/>
  <c r="B68" i="9"/>
  <c r="W68" i="9" s="1"/>
  <c r="BV67" i="8"/>
  <c r="BW67" i="8"/>
  <c r="CM67" i="8" s="1"/>
  <c r="BT67" i="8"/>
  <c r="BU67" i="8"/>
  <c r="BX67" i="8"/>
  <c r="CO67" i="8" s="1"/>
  <c r="CP67" i="8" s="1"/>
  <c r="CC67" i="8"/>
  <c r="CS67" i="8" s="1"/>
  <c r="AB70" i="1"/>
  <c r="DI70" i="5"/>
  <c r="C70" i="5"/>
  <c r="AC69" i="1"/>
  <c r="DA69" i="5"/>
  <c r="DG69" i="5" s="1" a="1"/>
  <c r="DG69" i="5" s="1"/>
  <c r="AE79" i="9"/>
  <c r="AI79" i="9"/>
  <c r="N55" i="1"/>
  <c r="S72" i="2"/>
  <c r="N73" i="2"/>
  <c r="R73" i="2"/>
  <c r="Q72" i="2"/>
  <c r="P74" i="2"/>
  <c r="O74" i="2"/>
  <c r="M73" i="2"/>
  <c r="J74" i="10"/>
  <c r="AG67" i="7" l="1"/>
  <c r="AF67" i="7"/>
  <c r="O77" i="1"/>
  <c r="BL84" i="5" a="1"/>
  <c r="BL84" i="5" s="1"/>
  <c r="AP68" i="5"/>
  <c r="AH72" i="11"/>
  <c r="O66" i="8"/>
  <c r="CY66" i="8"/>
  <c r="G66" i="1" s="1"/>
  <c r="M66" i="8" s="1"/>
  <c r="BS68" i="8"/>
  <c r="BY68" i="8" s="1"/>
  <c r="BO68" i="8"/>
  <c r="BK68" i="8"/>
  <c r="BL68" i="8"/>
  <c r="BI68" i="8"/>
  <c r="BJ68" i="8"/>
  <c r="BG68" i="8"/>
  <c r="BH68" i="8"/>
  <c r="BF68" i="8"/>
  <c r="AC68" i="10"/>
  <c r="X68" i="10" s="1"/>
  <c r="AO68" i="5"/>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F77" i="8" s="1"/>
  <c r="F78" i="8" s="1"/>
  <c r="F79" i="8" s="1"/>
  <c r="F80" i="8" s="1"/>
  <c r="F81" i="8" s="1"/>
  <c r="F82" i="8" s="1"/>
  <c r="F83" i="8" s="1"/>
  <c r="F84" i="8" s="1"/>
  <c r="F85" i="8" s="1"/>
  <c r="F86" i="8" s="1"/>
  <c r="F87" i="8" s="1"/>
  <c r="F88" i="8" s="1"/>
  <c r="F89" i="8" s="1"/>
  <c r="F90" i="8" s="1"/>
  <c r="F91" i="8" s="1"/>
  <c r="F92" i="8" s="1"/>
  <c r="F93" i="8" s="1"/>
  <c r="F94" i="8" s="1"/>
  <c r="F95" i="8" s="1"/>
  <c r="F96" i="8" s="1"/>
  <c r="F97" i="8" s="1"/>
  <c r="F98" i="8" s="1"/>
  <c r="F99" i="8" s="1"/>
  <c r="F100" i="8" s="1"/>
  <c r="F101" i="8" s="1"/>
  <c r="F102" i="8" s="1"/>
  <c r="F103" i="8" s="1"/>
  <c r="F104" i="8" s="1"/>
  <c r="F105" i="8" s="1"/>
  <c r="F106" i="8" s="1"/>
  <c r="F107" i="8" s="1"/>
  <c r="F108" i="8" s="1"/>
  <c r="F109" i="8" s="1"/>
  <c r="F110" i="8" s="1"/>
  <c r="F111" i="8" s="1"/>
  <c r="F112" i="8" s="1"/>
  <c r="F113" i="8" s="1"/>
  <c r="F114" i="8" s="1"/>
  <c r="F115" i="8" s="1"/>
  <c r="F116" i="8" s="1"/>
  <c r="F117" i="8" s="1"/>
  <c r="F118" i="8" s="1"/>
  <c r="F119" i="8" s="1"/>
  <c r="F120" i="8" s="1"/>
  <c r="F121" i="8" s="1"/>
  <c r="F122" i="8" s="1"/>
  <c r="F123" i="8" s="1"/>
  <c r="F124" i="8" s="1"/>
  <c r="F125" i="8" s="1"/>
  <c r="F126" i="8" s="1"/>
  <c r="F127" i="8" s="1"/>
  <c r="F128" i="8" s="1"/>
  <c r="F129" i="8" s="1"/>
  <c r="F130" i="8" s="1"/>
  <c r="F131" i="8" s="1"/>
  <c r="F132" i="8" s="1"/>
  <c r="F133" i="8" s="1"/>
  <c r="F134" i="8" s="1"/>
  <c r="F135" i="8" s="1"/>
  <c r="F136" i="8" s="1"/>
  <c r="AE136" i="1" s="1"/>
  <c r="BY67" i="8"/>
  <c r="CQ67" i="8" s="1"/>
  <c r="CR67" i="8" s="1"/>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F80" i="9"/>
  <c r="A69" i="10"/>
  <c r="AA69" i="10" s="1"/>
  <c r="AQ67" i="5"/>
  <c r="CU67" i="8"/>
  <c r="E69" i="1"/>
  <c r="AV69" i="5"/>
  <c r="W69" i="8"/>
  <c r="BT69" i="5"/>
  <c r="AJ69" i="5"/>
  <c r="AB69" i="8"/>
  <c r="BM69" i="8" s="1"/>
  <c r="A69" i="11"/>
  <c r="AA68" i="11" s="1"/>
  <c r="AK68" i="1" s="1"/>
  <c r="AR67" i="5"/>
  <c r="B69" i="9"/>
  <c r="W69" i="9" s="1"/>
  <c r="AW69" i="5"/>
  <c r="AI69" i="5"/>
  <c r="CZ71" i="5"/>
  <c r="AE68" i="7"/>
  <c r="Q68" i="7"/>
  <c r="V70" i="2"/>
  <c r="BW68" i="8"/>
  <c r="CM68" i="8" s="1"/>
  <c r="BT68" i="8"/>
  <c r="BU68" i="8"/>
  <c r="CC68" i="8"/>
  <c r="CS68" i="8" s="1"/>
  <c r="BX68" i="8"/>
  <c r="CO68" i="8" s="1"/>
  <c r="CP68" i="8" s="1"/>
  <c r="BV68" i="8"/>
  <c r="B67" i="14"/>
  <c r="AI67" i="7"/>
  <c r="AB67" i="11"/>
  <c r="P67" i="8" s="1"/>
  <c r="Z67" i="11"/>
  <c r="AA67" i="11"/>
  <c r="AK67" i="1" s="1"/>
  <c r="AC67" i="11"/>
  <c r="T67" i="8" s="1"/>
  <c r="Y67" i="11"/>
  <c r="AH67" i="1" s="1"/>
  <c r="AD67" i="11"/>
  <c r="AI67" i="1" s="1"/>
  <c r="N68" i="11"/>
  <c r="J70" i="2"/>
  <c r="CK67" i="8"/>
  <c r="CD68" i="8"/>
  <c r="CT68" i="8" s="1"/>
  <c r="V71" i="2"/>
  <c r="AC70" i="1"/>
  <c r="DA70" i="5"/>
  <c r="DG70" i="5" s="1" a="1"/>
  <c r="DG70" i="5" s="1"/>
  <c r="AB71" i="1"/>
  <c r="DI71" i="5"/>
  <c r="AE80" i="9"/>
  <c r="AI80" i="9"/>
  <c r="N56" i="1"/>
  <c r="S73" i="2"/>
  <c r="N74" i="2"/>
  <c r="R74" i="2"/>
  <c r="Q73" i="2"/>
  <c r="J75" i="10"/>
  <c r="O75" i="2"/>
  <c r="M74" i="2"/>
  <c r="P75" i="2"/>
  <c r="AG68" i="7" l="1"/>
  <c r="AF68" i="7"/>
  <c r="O78" i="1"/>
  <c r="BL85" i="5" a="1"/>
  <c r="BL85" i="5" s="1"/>
  <c r="AH73" i="11"/>
  <c r="BZ68" i="8"/>
  <c r="CQ68" i="8" s="1"/>
  <c r="CR68" i="8" s="1"/>
  <c r="BO69" i="8"/>
  <c r="BK69" i="8"/>
  <c r="BL69" i="8"/>
  <c r="BI69" i="8"/>
  <c r="BJ69" i="8"/>
  <c r="BG69" i="8"/>
  <c r="BH69" i="8"/>
  <c r="BF69" i="8"/>
  <c r="AP69" i="5"/>
  <c r="AC69" i="10"/>
  <c r="X69" i="10" s="1"/>
  <c r="AO69" i="5"/>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CY67" i="8" s="1"/>
  <c r="G67" i="1" s="1"/>
  <c r="M67" i="8" s="1"/>
  <c r="W70" i="8"/>
  <c r="B70" i="9"/>
  <c r="W70" i="9" s="1"/>
  <c r="AV70" i="5"/>
  <c r="AB70" i="8"/>
  <c r="BM70" i="8" s="1"/>
  <c r="B70" i="7"/>
  <c r="AE70" i="7" s="1"/>
  <c r="B72" i="5"/>
  <c r="BT70" i="5"/>
  <c r="DA70" i="8"/>
  <c r="DB70" i="8" s="1"/>
  <c r="AJ70" i="5"/>
  <c r="AW70" i="5"/>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O67" i="8"/>
  <c r="D70" i="9"/>
  <c r="CB75" i="8"/>
  <c r="BS69" i="8"/>
  <c r="BY69" i="8" s="1"/>
  <c r="N69" i="7"/>
  <c r="AF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O68" i="8"/>
  <c r="B68" i="14"/>
  <c r="AI68" i="7"/>
  <c r="J71" i="2"/>
  <c r="CZ72" i="5"/>
  <c r="C71" i="5"/>
  <c r="F71" i="5" s="1"/>
  <c r="AB72" i="1"/>
  <c r="DI72" i="5"/>
  <c r="C72" i="5"/>
  <c r="AC71" i="1"/>
  <c r="DA71" i="5"/>
  <c r="DG71" i="5" s="1" a="1"/>
  <c r="DG71" i="5" s="1"/>
  <c r="AE81" i="9"/>
  <c r="AI81" i="9"/>
  <c r="L51" i="11"/>
  <c r="AS51" i="8"/>
  <c r="L39" i="11"/>
  <c r="AS39" i="8"/>
  <c r="L37" i="11"/>
  <c r="AS37" i="8"/>
  <c r="L40" i="11"/>
  <c r="AS40" i="8"/>
  <c r="B15" i="14"/>
  <c r="N57" i="1"/>
  <c r="S74" i="2"/>
  <c r="N75" i="2"/>
  <c r="R75" i="2"/>
  <c r="Q74" i="2"/>
  <c r="O76" i="2"/>
  <c r="J76" i="10"/>
  <c r="P76" i="2"/>
  <c r="M75" i="2"/>
  <c r="AG69" i="7" l="1"/>
  <c r="AI69" i="7" s="1"/>
  <c r="AF69" i="7"/>
  <c r="AG70" i="7"/>
  <c r="AI70" i="7" s="1"/>
  <c r="AF70" i="7"/>
  <c r="O79" i="1"/>
  <c r="BL86" i="5" a="1"/>
  <c r="BL86" i="5" s="1"/>
  <c r="BO70" i="8"/>
  <c r="BK70" i="8"/>
  <c r="BL70" i="8"/>
  <c r="BI70" i="8"/>
  <c r="BJ70" i="8"/>
  <c r="BG70" i="8"/>
  <c r="BH70" i="8"/>
  <c r="BF70" i="8"/>
  <c r="AP70" i="5"/>
  <c r="AC70" i="10"/>
  <c r="X70" i="10" s="1"/>
  <c r="AO70" i="5"/>
  <c r="AM70" i="5"/>
  <c r="AN70" i="5"/>
  <c r="BU70" i="8"/>
  <c r="BT70" i="8"/>
  <c r="CJ70" i="8" s="1"/>
  <c r="CN70" i="8" s="1"/>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DA72" i="8" s="1"/>
  <c r="DB72" i="8"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F82" i="9"/>
  <c r="CU69" i="8"/>
  <c r="CK69" i="8"/>
  <c r="O69" i="8"/>
  <c r="AQ69" i="5"/>
  <c r="AR69" i="5"/>
  <c r="V72" i="2"/>
  <c r="CZ73" i="5"/>
  <c r="AW71" i="5"/>
  <c r="A71" i="11"/>
  <c r="W71" i="8"/>
  <c r="B71" i="9"/>
  <c r="W71" i="9" s="1"/>
  <c r="E71" i="1"/>
  <c r="AV71" i="5"/>
  <c r="AJ71" i="5"/>
  <c r="AI71" i="5"/>
  <c r="AB71" i="8"/>
  <c r="BM71" i="8" s="1"/>
  <c r="BT71" i="5"/>
  <c r="A71" i="10"/>
  <c r="AA71" i="10" s="1"/>
  <c r="B71" i="7"/>
  <c r="J72" i="2"/>
  <c r="C73" i="5"/>
  <c r="AC72" i="1"/>
  <c r="DA72" i="5"/>
  <c r="DG72" i="5" s="1" a="1"/>
  <c r="DG72" i="5" s="1"/>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7" i="4"/>
  <c r="R76" i="2"/>
  <c r="B46" i="4"/>
  <c r="Q75" i="2"/>
  <c r="J77" i="10"/>
  <c r="B38" i="4"/>
  <c r="O77" i="2"/>
  <c r="M76" i="2"/>
  <c r="P77" i="2"/>
  <c r="B39" i="4"/>
  <c r="O80" i="1" l="1"/>
  <c r="BL87" i="5" a="1"/>
  <c r="BL87" i="5" s="1"/>
  <c r="BS71" i="8"/>
  <c r="BY71" i="8" s="1"/>
  <c r="BO71" i="8"/>
  <c r="BK71" i="8"/>
  <c r="BL71" i="8"/>
  <c r="BI71" i="8"/>
  <c r="BJ71" i="8"/>
  <c r="BG71" i="8"/>
  <c r="BH71" i="8"/>
  <c r="BF71" i="8"/>
  <c r="AP71" i="5"/>
  <c r="AC71" i="10"/>
  <c r="X71" i="10" s="1"/>
  <c r="AO71" i="5"/>
  <c r="AM71" i="5"/>
  <c r="AN71" i="5"/>
  <c r="CK70" i="8"/>
  <c r="CL70" i="8" s="1"/>
  <c r="CU70" i="8"/>
  <c r="AM75" i="1"/>
  <c r="AS75" i="5"/>
  <c r="E79" i="8"/>
  <c r="E54" i="4"/>
  <c r="B42" i="4" s="1"/>
  <c r="AH75" i="11"/>
  <c r="E56" i="4"/>
  <c r="DF74" i="5"/>
  <c r="E59" i="4"/>
  <c r="E51" i="4"/>
  <c r="E60" i="4"/>
  <c r="E65" i="4"/>
  <c r="AK75" i="11"/>
  <c r="DB74" i="5"/>
  <c r="E57" i="4"/>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O70" i="8"/>
  <c r="W72" i="8"/>
  <c r="BE72" i="8"/>
  <c r="BN72" i="8" s="1"/>
  <c r="BR72" i="8"/>
  <c r="BV72" i="8" s="1"/>
  <c r="A72" i="11"/>
  <c r="AA71" i="11" s="1"/>
  <c r="AK71" i="1" s="1"/>
  <c r="BD72" i="8"/>
  <c r="BP72" i="8" s="1"/>
  <c r="B72" i="7"/>
  <c r="AE72" i="7" s="1"/>
  <c r="B72" i="9"/>
  <c r="W72" i="9" s="1"/>
  <c r="AV72" i="5"/>
  <c r="AI72" i="5"/>
  <c r="A72" i="10"/>
  <c r="AA72" i="10" s="1"/>
  <c r="AJ72" i="5"/>
  <c r="BT72" i="5"/>
  <c r="AW72" i="5"/>
  <c r="CF72" i="8"/>
  <c r="AB72" i="8"/>
  <c r="BM72" i="8" s="1"/>
  <c r="AR70" i="5"/>
  <c r="F73" i="5"/>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F83" i="9"/>
  <c r="CD72" i="8"/>
  <c r="CT72" i="8" s="1"/>
  <c r="J73" i="2"/>
  <c r="V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CD71" i="8"/>
  <c r="CT71" i="8" s="1"/>
  <c r="V74" i="2"/>
  <c r="AC73" i="1"/>
  <c r="DA73" i="5"/>
  <c r="DG73" i="5" s="1" a="1"/>
  <c r="DG73" i="5" s="1"/>
  <c r="AB74" i="1"/>
  <c r="DI74" i="5"/>
  <c r="AE83" i="9"/>
  <c r="AI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P78" i="2"/>
  <c r="AG72" i="7" l="1"/>
  <c r="AI72" i="7" s="1"/>
  <c r="AF72" i="7"/>
  <c r="AG71" i="7"/>
  <c r="AF71" i="7"/>
  <c r="O81" i="1"/>
  <c r="BL88" i="5" a="1"/>
  <c r="BL88" i="5" s="1"/>
  <c r="BZ71" i="8"/>
  <c r="CQ71" i="8" s="1"/>
  <c r="CR71" i="8" s="1"/>
  <c r="BS72" i="8"/>
  <c r="BY72" i="8" s="1"/>
  <c r="BO72" i="8"/>
  <c r="BK72" i="8"/>
  <c r="BL72" i="8"/>
  <c r="BI72" i="8"/>
  <c r="BJ72" i="8"/>
  <c r="BG72" i="8"/>
  <c r="BH72" i="8"/>
  <c r="BF72" i="8"/>
  <c r="AP72" i="5"/>
  <c r="AC72" i="10"/>
  <c r="X72" i="10" s="1"/>
  <c r="AO72" i="5"/>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9" i="4"/>
  <c r="E58" i="4"/>
  <c r="AD77" i="8"/>
  <c r="AR77" i="8"/>
  <c r="DH75" i="5"/>
  <c r="E63" i="4"/>
  <c r="CY70" i="8"/>
  <c r="G70" i="1" s="1"/>
  <c r="M70" i="8" s="1"/>
  <c r="BU72" i="8"/>
  <c r="CK72" i="8" s="1"/>
  <c r="CC72" i="8"/>
  <c r="CS72" i="8" s="1"/>
  <c r="CU72" i="8" s="1"/>
  <c r="BT72" i="8"/>
  <c r="CJ72" i="8" s="1"/>
  <c r="CN72" i="8" s="1"/>
  <c r="D73" i="9"/>
  <c r="N72" i="7"/>
  <c r="AD71" i="11"/>
  <c r="AI71" i="1" s="1"/>
  <c r="AB71" i="11"/>
  <c r="P71" i="8" s="1"/>
  <c r="BW72" i="8"/>
  <c r="CM72" i="8" s="1"/>
  <c r="BX72" i="8"/>
  <c r="CO72" i="8" s="1"/>
  <c r="CP72" i="8" s="1"/>
  <c r="Z71" i="11"/>
  <c r="Y71" i="11"/>
  <c r="AH71" i="1" s="1"/>
  <c r="AC71" i="11"/>
  <c r="T71" i="8" s="1"/>
  <c r="B72" i="14"/>
  <c r="B73" i="7"/>
  <c r="AE73" i="7" s="1"/>
  <c r="N72" i="11"/>
  <c r="Q72" i="7"/>
  <c r="B73" i="9"/>
  <c r="W73" i="9" s="1"/>
  <c r="AJ73" i="5"/>
  <c r="A73" i="10"/>
  <c r="AA73" i="10" s="1"/>
  <c r="AB73" i="8"/>
  <c r="BM73" i="8" s="1"/>
  <c r="A73" i="11"/>
  <c r="Z72" i="11" s="1"/>
  <c r="AV73" i="5"/>
  <c r="E73" i="1"/>
  <c r="BT73" i="5"/>
  <c r="BE73" i="8"/>
  <c r="BN73" i="8" s="1"/>
  <c r="W73" i="8"/>
  <c r="AW73" i="5"/>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I71" i="7"/>
  <c r="AQ71" i="5"/>
  <c r="AR71" i="5"/>
  <c r="CK71" i="8"/>
  <c r="CU71" i="8"/>
  <c r="CZ75" i="5"/>
  <c r="J74" i="2"/>
  <c r="C74" i="5"/>
  <c r="F74" i="5" s="1"/>
  <c r="O71" i="8"/>
  <c r="AB75" i="1"/>
  <c r="DI75" i="5"/>
  <c r="C75" i="5"/>
  <c r="AC74" i="1"/>
  <c r="DA74" i="5"/>
  <c r="DG74" i="5" s="1" a="1"/>
  <c r="DG74" i="5" s="1"/>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O79" i="2"/>
  <c r="P79" i="2"/>
  <c r="AG73" i="7" l="1"/>
  <c r="AI73" i="7" s="1"/>
  <c r="AF73" i="7"/>
  <c r="O82" i="1"/>
  <c r="BZ72" i="8"/>
  <c r="CQ72" i="8" s="1"/>
  <c r="CR72" i="8" s="1"/>
  <c r="BL89" i="5" a="1"/>
  <c r="BL89" i="5" s="1"/>
  <c r="BS73" i="8"/>
  <c r="BY73" i="8" s="1"/>
  <c r="BO73" i="8"/>
  <c r="BK73" i="8"/>
  <c r="BL73" i="8"/>
  <c r="BI73" i="8"/>
  <c r="BJ73" i="8"/>
  <c r="BG73" i="8"/>
  <c r="BH73" i="8"/>
  <c r="BF73" i="8"/>
  <c r="AP73" i="5"/>
  <c r="AC73" i="10"/>
  <c r="X73" i="10" s="1"/>
  <c r="AO73" i="5"/>
  <c r="AM73" i="5"/>
  <c r="AN73" i="5"/>
  <c r="AS77" i="5"/>
  <c r="E81" i="8"/>
  <c r="AH77" i="11"/>
  <c r="BV73" i="8"/>
  <c r="BX73" i="8"/>
  <c r="CO73" i="8" s="1"/>
  <c r="CP73" i="8" s="1"/>
  <c r="BW73" i="8"/>
  <c r="CM73" i="8" s="1"/>
  <c r="BT73" i="8"/>
  <c r="CJ73" i="8" s="1"/>
  <c r="CN73" i="8" s="1"/>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A79" i="5"/>
  <c r="A79" i="7"/>
  <c r="R79" i="7" s="1"/>
  <c r="A79" i="2"/>
  <c r="A79" i="9"/>
  <c r="A79" i="8"/>
  <c r="Y75" i="1"/>
  <c r="DJ76" i="5"/>
  <c r="E66" i="4"/>
  <c r="E61" i="4"/>
  <c r="O72" i="8"/>
  <c r="AQ72" i="5"/>
  <c r="AR72" i="5"/>
  <c r="AB72" i="11"/>
  <c r="P72" i="8" s="1"/>
  <c r="B73" i="14"/>
  <c r="Q73" i="7"/>
  <c r="N73" i="11"/>
  <c r="N73" i="7"/>
  <c r="AD72" i="11"/>
  <c r="AI72" i="1" s="1"/>
  <c r="Y72" i="11"/>
  <c r="AH72" i="1" s="1"/>
  <c r="AA72" i="11"/>
  <c r="AK72" i="1" s="1"/>
  <c r="AC72" i="11"/>
  <c r="T72" i="8" s="1"/>
  <c r="CD73" i="8"/>
  <c r="CT73" i="8" s="1"/>
  <c r="CU73" i="8" s="1"/>
  <c r="D74" i="9"/>
  <c r="F75" i="5"/>
  <c r="B76" i="5"/>
  <c r="CL72" i="8"/>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F85" i="9"/>
  <c r="V75" i="2"/>
  <c r="J75" i="2"/>
  <c r="CZ76" i="5"/>
  <c r="AW74" i="5"/>
  <c r="B74" i="9"/>
  <c r="W74" i="9" s="1"/>
  <c r="BT74" i="5"/>
  <c r="W74" i="8"/>
  <c r="E74" i="1"/>
  <c r="AV74" i="5"/>
  <c r="AB74" i="8"/>
  <c r="BM74" i="8" s="1"/>
  <c r="AJ74" i="5"/>
  <c r="AI74" i="5"/>
  <c r="A74" i="10"/>
  <c r="AA74" i="10" s="1"/>
  <c r="B74" i="7"/>
  <c r="A74" i="11"/>
  <c r="V76" i="2"/>
  <c r="AC75" i="1"/>
  <c r="DA75" i="5"/>
  <c r="DG75" i="5" s="1" a="1"/>
  <c r="DG75" i="5" s="1"/>
  <c r="AB76" i="1"/>
  <c r="DI76" i="5"/>
  <c r="E50" i="4"/>
  <c r="AH43" i="5"/>
  <c r="BU43" i="5"/>
  <c r="AE85" i="9"/>
  <c r="AI85" i="9"/>
  <c r="B43" i="2"/>
  <c r="B43" i="1"/>
  <c r="BG43" i="1" s="1"/>
  <c r="B53" i="14"/>
  <c r="N61" i="1"/>
  <c r="S78" i="2"/>
  <c r="N79" i="2"/>
  <c r="R79" i="2"/>
  <c r="Q78" i="2"/>
  <c r="M79" i="2"/>
  <c r="J80" i="10"/>
  <c r="P80" i="2"/>
  <c r="O80" i="2"/>
  <c r="O83" i="1" l="1"/>
  <c r="CY72" i="8"/>
  <c r="G72" i="1" s="1"/>
  <c r="M72" i="8" s="1"/>
  <c r="BL90" i="5" a="1"/>
  <c r="BL90" i="5" s="1"/>
  <c r="BZ73" i="8"/>
  <c r="CQ73" i="8" s="1"/>
  <c r="CR73" i="8" s="1"/>
  <c r="BS74" i="8"/>
  <c r="BY74" i="8" s="1"/>
  <c r="BO74" i="8"/>
  <c r="AP74" i="5"/>
  <c r="BK74" i="8"/>
  <c r="BL74" i="8"/>
  <c r="BI74" i="8"/>
  <c r="BJ74" i="8"/>
  <c r="BG74" i="8"/>
  <c r="BH74" i="8"/>
  <c r="BF74" i="8"/>
  <c r="AC74" i="10"/>
  <c r="X74" i="10" s="1"/>
  <c r="AO74" i="5"/>
  <c r="AN74" i="5"/>
  <c r="AM74" i="5"/>
  <c r="AS78" i="5"/>
  <c r="E82" i="8"/>
  <c r="CF75" i="8"/>
  <c r="CK73" i="8"/>
  <c r="CL73" i="8" s="1"/>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O73" i="8"/>
  <c r="AB75" i="8"/>
  <c r="BM75" i="8" s="1"/>
  <c r="AQ73" i="5"/>
  <c r="BD75" i="8"/>
  <c r="BP75" i="8" s="1"/>
  <c r="AJ75" i="5"/>
  <c r="B75" i="7"/>
  <c r="AE75" i="7" s="1"/>
  <c r="B75" i="9"/>
  <c r="W75" i="9" s="1"/>
  <c r="BT75" i="5"/>
  <c r="E75" i="1"/>
  <c r="A75" i="11"/>
  <c r="N75" i="11" s="1"/>
  <c r="BR75" i="8"/>
  <c r="BT75" i="8" s="1"/>
  <c r="CJ75" i="8" s="1"/>
  <c r="CN75" i="8" s="1"/>
  <c r="W75" i="8"/>
  <c r="AW75" i="5"/>
  <c r="AV75" i="5"/>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F86" i="9"/>
  <c r="AB73" i="11"/>
  <c r="P73" i="8" s="1"/>
  <c r="AD73" i="11"/>
  <c r="AI73" i="1" s="1"/>
  <c r="N74" i="11"/>
  <c r="Z73" i="11"/>
  <c r="AA73" i="11"/>
  <c r="AK73" i="1" s="1"/>
  <c r="Y73" i="11"/>
  <c r="AH73" i="1" s="1"/>
  <c r="AC73" i="11"/>
  <c r="T73" i="8" s="1"/>
  <c r="CD74" i="8"/>
  <c r="CT74" i="8" s="1"/>
  <c r="Q74" i="7"/>
  <c r="AE74" i="7"/>
  <c r="J76" i="2"/>
  <c r="C76" i="5"/>
  <c r="F76" i="5" s="1"/>
  <c r="CZ77" i="5"/>
  <c r="BW74" i="8"/>
  <c r="CM74" i="8" s="1"/>
  <c r="BT74" i="8"/>
  <c r="BU74" i="8"/>
  <c r="BV74" i="8"/>
  <c r="BX74" i="8"/>
  <c r="CO74" i="8" s="1"/>
  <c r="CP74" i="8" s="1"/>
  <c r="CC74" i="8"/>
  <c r="CS74" i="8" s="1"/>
  <c r="C77" i="5"/>
  <c r="AC76" i="1"/>
  <c r="E53" i="4"/>
  <c r="DA76" i="5"/>
  <c r="DG76" i="5" s="1" a="1"/>
  <c r="DG76" i="5" s="1"/>
  <c r="E67" i="4" s="1"/>
  <c r="AB77" i="1"/>
  <c r="DI77" i="5"/>
  <c r="AE86" i="9"/>
  <c r="AI86" i="9"/>
  <c r="L55" i="11"/>
  <c r="AS55" i="8"/>
  <c r="B60" i="14"/>
  <c r="N62" i="1"/>
  <c r="S79" i="2"/>
  <c r="N80" i="2"/>
  <c r="R80" i="2"/>
  <c r="Q79" i="2"/>
  <c r="O81" i="2"/>
  <c r="P81" i="2"/>
  <c r="J81" i="10"/>
  <c r="M80" i="2"/>
  <c r="AG74" i="7" l="1"/>
  <c r="AF74" i="7"/>
  <c r="AG75" i="7"/>
  <c r="AI75" i="7" s="1"/>
  <c r="AF75" i="7"/>
  <c r="O84" i="1"/>
  <c r="BL91" i="5" a="1"/>
  <c r="BL91" i="5" s="1"/>
  <c r="BZ74" i="8"/>
  <c r="CQ74" i="8" s="1"/>
  <c r="CR74" i="8" s="1"/>
  <c r="CY73" i="8"/>
  <c r="G73" i="1" s="1"/>
  <c r="M73" i="8" s="1"/>
  <c r="BS75" i="8"/>
  <c r="BY75" i="8" s="1"/>
  <c r="BO75" i="8"/>
  <c r="BK75" i="8"/>
  <c r="BL75" i="8"/>
  <c r="BI75" i="8"/>
  <c r="BJ75" i="8"/>
  <c r="BG75" i="8"/>
  <c r="BH75" i="8"/>
  <c r="BF75" i="8"/>
  <c r="AP75" i="5"/>
  <c r="AC75" i="10"/>
  <c r="X75" i="10" s="1"/>
  <c r="AO75" i="5"/>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BE77" i="8" s="1"/>
  <c r="BN77" i="8"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F87" i="9"/>
  <c r="CU74" i="8"/>
  <c r="O74" i="8"/>
  <c r="AW76" i="5"/>
  <c r="AV76" i="5"/>
  <c r="AJ76" i="5"/>
  <c r="AB76" i="8"/>
  <c r="BM76" i="8" s="1"/>
  <c r="BT76" i="5"/>
  <c r="E47" i="4" s="1"/>
  <c r="F67" i="4" s="1"/>
  <c r="D78" i="4" s="1"/>
  <c r="A76" i="10"/>
  <c r="AA76" i="10" s="1"/>
  <c r="B76" i="7"/>
  <c r="AI76" i="5"/>
  <c r="A76" i="11"/>
  <c r="W76" i="8"/>
  <c r="E76" i="1"/>
  <c r="B76" i="9"/>
  <c r="W76" i="9" s="1"/>
  <c r="J77" i="2"/>
  <c r="B74" i="14"/>
  <c r="AI74" i="7"/>
  <c r="V77" i="2"/>
  <c r="V78" i="2"/>
  <c r="J78" i="2"/>
  <c r="CZ78" i="5"/>
  <c r="AQ74" i="5"/>
  <c r="CK74" i="8"/>
  <c r="AR74" i="5"/>
  <c r="AB78" i="1"/>
  <c r="DI78" i="5"/>
  <c r="C78" i="5"/>
  <c r="AC77" i="1"/>
  <c r="DA77" i="5"/>
  <c r="DG77" i="5" s="1" a="1"/>
  <c r="DG77" i="5" s="1"/>
  <c r="AH55" i="5"/>
  <c r="BU55" i="5"/>
  <c r="AE87" i="9"/>
  <c r="AI87" i="9"/>
  <c r="B55" i="2"/>
  <c r="B55" i="1"/>
  <c r="BG55" i="1" s="1"/>
  <c r="B66" i="14"/>
  <c r="N63" i="1"/>
  <c r="S80" i="2"/>
  <c r="N81" i="2"/>
  <c r="R81" i="2"/>
  <c r="Q80" i="2"/>
  <c r="M81" i="2"/>
  <c r="P82" i="2"/>
  <c r="J82" i="10"/>
  <c r="O82" i="2"/>
  <c r="O85" i="1" l="1"/>
  <c r="BL92" i="5" a="1"/>
  <c r="BL92" i="5" s="1"/>
  <c r="BZ75" i="8"/>
  <c r="CQ75" i="8" s="1"/>
  <c r="CR75" i="8" s="1"/>
  <c r="BO76" i="8"/>
  <c r="BK76" i="8"/>
  <c r="BL76" i="8"/>
  <c r="BI76" i="8"/>
  <c r="BJ76" i="8"/>
  <c r="BG76" i="8"/>
  <c r="BH76" i="8"/>
  <c r="BF76" i="8"/>
  <c r="AP76" i="5"/>
  <c r="AC76" i="10"/>
  <c r="X76" i="10" s="1"/>
  <c r="AO76" i="5"/>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W77" i="9" s="1"/>
  <c r="AW77" i="5"/>
  <c r="AV77" i="5"/>
  <c r="DA77" i="8"/>
  <c r="DB77" i="8" s="1"/>
  <c r="B77" i="7"/>
  <c r="Q77" i="7" s="1"/>
  <c r="BD77" i="8"/>
  <c r="BP77" i="8" s="1"/>
  <c r="A77" i="11"/>
  <c r="AB76" i="11" s="1"/>
  <c r="P76" i="8" s="1"/>
  <c r="E77" i="1"/>
  <c r="CF77" i="8"/>
  <c r="W77" i="8"/>
  <c r="A77" i="10"/>
  <c r="AA77" i="10" s="1"/>
  <c r="AI77" i="5"/>
  <c r="BT77" i="5"/>
  <c r="BR77" i="8"/>
  <c r="CC77" i="8" s="1"/>
  <c r="CS77" i="8" s="1"/>
  <c r="AJ77" i="5"/>
  <c r="AB77" i="8"/>
  <c r="BM77" i="8" s="1"/>
  <c r="AR75" i="5"/>
  <c r="CU75" i="8"/>
  <c r="CK75" i="8"/>
  <c r="CL75" i="8" s="1"/>
  <c r="AQ75" i="5"/>
  <c r="O75" i="8"/>
  <c r="F78" i="5"/>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F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Q76" i="7"/>
  <c r="M29" i="7" s="1"/>
  <c r="J79" i="2"/>
  <c r="AC78" i="1"/>
  <c r="DA78" i="5"/>
  <c r="DG78" i="5" s="1" a="1"/>
  <c r="DG78" i="5" s="1"/>
  <c r="AB79" i="1"/>
  <c r="DI79" i="5"/>
  <c r="AE88" i="9"/>
  <c r="AI88" i="9"/>
  <c r="L35" i="11"/>
  <c r="AS35" i="8"/>
  <c r="D77" i="4"/>
  <c r="C25" i="4" s="1"/>
  <c r="D79" i="4"/>
  <c r="C77" i="4"/>
  <c r="D76" i="4"/>
  <c r="D81" i="4"/>
  <c r="B71" i="14"/>
  <c r="N64" i="1"/>
  <c r="S81" i="2"/>
  <c r="N82" i="2"/>
  <c r="R82" i="2"/>
  <c r="Q81" i="2"/>
  <c r="O83" i="2"/>
  <c r="P83" i="2"/>
  <c r="J83" i="10"/>
  <c r="M82" i="2"/>
  <c r="AG76" i="7" l="1"/>
  <c r="AF76" i="7"/>
  <c r="O86" i="1"/>
  <c r="B25" i="4"/>
  <c r="C39" i="4" s="1"/>
  <c r="BL93" i="5" a="1"/>
  <c r="BL93" i="5" s="1"/>
  <c r="F36" i="4"/>
  <c r="BS77" i="8"/>
  <c r="BZ77" i="8" s="1"/>
  <c r="BO77" i="8"/>
  <c r="BK77" i="8"/>
  <c r="BL77" i="8"/>
  <c r="BI77" i="8"/>
  <c r="BJ77" i="8"/>
  <c r="BG77" i="8"/>
  <c r="BH77" i="8"/>
  <c r="AN77" i="5"/>
  <c r="BF77" i="8"/>
  <c r="AP77" i="5"/>
  <c r="AC77" i="10"/>
  <c r="X77" i="10" s="1"/>
  <c r="AO77" i="5"/>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CJ77" i="8" s="1"/>
  <c r="CN77" i="8" s="1"/>
  <c r="AE77" i="7"/>
  <c r="AA76" i="11"/>
  <c r="AK76" i="1" s="1"/>
  <c r="Z76" i="11"/>
  <c r="AD76" i="11"/>
  <c r="AI76" i="1" s="1"/>
  <c r="N77" i="11"/>
  <c r="AC76" i="11"/>
  <c r="T76" i="8" s="1"/>
  <c r="G36" i="4" s="1"/>
  <c r="N77" i="7"/>
  <c r="D78" i="9"/>
  <c r="A78" i="10"/>
  <c r="AA78" i="10" s="1"/>
  <c r="BV77" i="8"/>
  <c r="BX77" i="8"/>
  <c r="CO77" i="8" s="1"/>
  <c r="CP77" i="8" s="1"/>
  <c r="BT78" i="5"/>
  <c r="BW77" i="8"/>
  <c r="CM77" i="8" s="1"/>
  <c r="AJ78" i="5"/>
  <c r="AB78" i="8"/>
  <c r="BM78" i="8" s="1"/>
  <c r="CY75" i="8"/>
  <c r="G75" i="1" s="1"/>
  <c r="M75" i="8" s="1"/>
  <c r="BU77" i="8"/>
  <c r="DA78" i="8"/>
  <c r="DB78" i="8" s="1"/>
  <c r="E78" i="1"/>
  <c r="B80" i="5"/>
  <c r="B78" i="7"/>
  <c r="AE78" i="7" s="1"/>
  <c r="B78" i="9"/>
  <c r="W78" i="9" s="1"/>
  <c r="AW78" i="5"/>
  <c r="A78" i="11"/>
  <c r="AC77" i="11" s="1"/>
  <c r="T77" i="8" s="1"/>
  <c r="AV78" i="5"/>
  <c r="AI78" i="5"/>
  <c r="BD78" i="8"/>
  <c r="BP78" i="8" s="1"/>
  <c r="CF78" i="8"/>
  <c r="W78" i="8"/>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80" i="4"/>
  <c r="C24" i="4" s="1"/>
  <c r="AQ76" i="5"/>
  <c r="I61" i="4" s="1"/>
  <c r="CK76" i="8"/>
  <c r="CU76" i="8"/>
  <c r="O76" i="8"/>
  <c r="AR76" i="5"/>
  <c r="CZ80" i="5"/>
  <c r="B76" i="14"/>
  <c r="AI76" i="7"/>
  <c r="V79" i="2"/>
  <c r="C79" i="5"/>
  <c r="F79" i="5" s="1"/>
  <c r="AB80" i="1"/>
  <c r="DI80" i="5"/>
  <c r="V80" i="2"/>
  <c r="AC79" i="1"/>
  <c r="DA79" i="5"/>
  <c r="DG79" i="5" s="1" a="1"/>
  <c r="DG79" i="5" s="1"/>
  <c r="AH35" i="5"/>
  <c r="BU35" i="5"/>
  <c r="AE89" i="9"/>
  <c r="AI89" i="9"/>
  <c r="B35" i="2"/>
  <c r="B35" i="1"/>
  <c r="BG35" i="1" s="1"/>
  <c r="L56" i="11"/>
  <c r="AS56" i="8"/>
  <c r="B75" i="14"/>
  <c r="N65" i="1"/>
  <c r="S82" i="2"/>
  <c r="N83" i="2"/>
  <c r="R83" i="2"/>
  <c r="Q82" i="2"/>
  <c r="P84" i="2"/>
  <c r="J84" i="10"/>
  <c r="O84" i="2"/>
  <c r="M83" i="2"/>
  <c r="AG78" i="7" l="1"/>
  <c r="AI78" i="7" s="1"/>
  <c r="AF78" i="7"/>
  <c r="AG77" i="7"/>
  <c r="AI77" i="7" s="1"/>
  <c r="AF77" i="7"/>
  <c r="O87" i="1"/>
  <c r="BL94" i="5" a="1"/>
  <c r="BL94" i="5" s="1"/>
  <c r="F39" i="4"/>
  <c r="H39" i="4" s="1"/>
  <c r="R4" i="8"/>
  <c r="F37" i="4"/>
  <c r="H37" i="4" s="1"/>
  <c r="F38" i="4"/>
  <c r="H38" i="4" s="1"/>
  <c r="BY77" i="8"/>
  <c r="CQ77" i="8" s="1"/>
  <c r="CR77" i="8" s="1"/>
  <c r="BS78" i="8"/>
  <c r="BZ78" i="8" s="1"/>
  <c r="BO78" i="8"/>
  <c r="BK78" i="8"/>
  <c r="BL78" i="8"/>
  <c r="BI78" i="8"/>
  <c r="BJ78" i="8"/>
  <c r="BG78" i="8"/>
  <c r="BH78" i="8"/>
  <c r="BF78" i="8"/>
  <c r="AP78" i="5"/>
  <c r="AC78" i="10"/>
  <c r="X78" i="10" s="1"/>
  <c r="AO78" i="5"/>
  <c r="AM78" i="5"/>
  <c r="AN78" i="5"/>
  <c r="AS82" i="5"/>
  <c r="E86" i="8"/>
  <c r="CC78" i="8"/>
  <c r="CS78" i="8" s="1"/>
  <c r="BV78" i="8"/>
  <c r="BU78" i="8"/>
  <c r="DF81" i="5"/>
  <c r="BW78" i="8"/>
  <c r="CM78" i="8" s="1"/>
  <c r="BT78" i="8"/>
  <c r="CJ78" i="8" s="1"/>
  <c r="CN78" i="8" s="1"/>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CL77" i="8" s="1"/>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F90" i="9"/>
  <c r="J80" i="2"/>
  <c r="CZ81" i="5"/>
  <c r="C80" i="5"/>
  <c r="F80" i="5" s="1"/>
  <c r="AW79" i="5"/>
  <c r="AV79" i="5"/>
  <c r="AJ79" i="5"/>
  <c r="AB79" i="8"/>
  <c r="BM79" i="8" s="1"/>
  <c r="AI79" i="5"/>
  <c r="A79" i="10"/>
  <c r="AA79" i="10" s="1"/>
  <c r="BT79" i="5"/>
  <c r="W79" i="8"/>
  <c r="B79" i="7"/>
  <c r="A79" i="11"/>
  <c r="E79" i="1"/>
  <c r="B79" i="9"/>
  <c r="W79" i="9" s="1"/>
  <c r="V81" i="2"/>
  <c r="AC80" i="1"/>
  <c r="DA80" i="5"/>
  <c r="DG80" i="5" s="1" a="1"/>
  <c r="DG80" i="5" s="1"/>
  <c r="AB81" i="1"/>
  <c r="DI81" i="5"/>
  <c r="AH56" i="5"/>
  <c r="BU56" i="5"/>
  <c r="AE90" i="9"/>
  <c r="AI90" i="9"/>
  <c r="B56" i="2"/>
  <c r="B56" i="1"/>
  <c r="BG56" i="1" s="1"/>
  <c r="B78" i="14"/>
  <c r="N66" i="1"/>
  <c r="S83" i="2"/>
  <c r="N84" i="2"/>
  <c r="R84" i="2"/>
  <c r="Q83" i="2"/>
  <c r="J85" i="10"/>
  <c r="O85" i="2"/>
  <c r="P85" i="2"/>
  <c r="M84" i="2"/>
  <c r="C40" i="4"/>
  <c r="I48" i="4" s="1"/>
  <c r="O88" i="1" l="1"/>
  <c r="BL95" i="5" a="1"/>
  <c r="BL95" i="5" s="1"/>
  <c r="O77" i="8"/>
  <c r="F40" i="4"/>
  <c r="I49" i="4" s="1"/>
  <c r="S4" i="8"/>
  <c r="V4" i="8" s="1"/>
  <c r="U4" i="8"/>
  <c r="CY77" i="8"/>
  <c r="G77" i="1" s="1"/>
  <c r="M77" i="8" s="1"/>
  <c r="BY78" i="8"/>
  <c r="CQ78" i="8" s="1"/>
  <c r="CR78" i="8" s="1"/>
  <c r="AH83" i="11"/>
  <c r="BO79" i="8"/>
  <c r="BP79" i="8"/>
  <c r="BK79" i="8"/>
  <c r="BL79" i="8"/>
  <c r="BI79" i="8"/>
  <c r="BJ79" i="8"/>
  <c r="BG79" i="8"/>
  <c r="BH79" i="8"/>
  <c r="AP79" i="5"/>
  <c r="BF79" i="8"/>
  <c r="AC79" i="10"/>
  <c r="X79" i="10" s="1"/>
  <c r="AO79" i="5"/>
  <c r="AN79" i="5"/>
  <c r="AM79" i="5"/>
  <c r="AS83" i="5"/>
  <c r="E87" i="8"/>
  <c r="CK78" i="8"/>
  <c r="CL78" i="8" s="1"/>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F91" i="9"/>
  <c r="B55" i="4"/>
  <c r="BU79" i="8"/>
  <c r="BV79" i="8"/>
  <c r="BX79" i="8"/>
  <c r="CO79" i="8" s="1"/>
  <c r="CP79" i="8" s="1"/>
  <c r="CC79" i="8"/>
  <c r="CS79" i="8" s="1"/>
  <c r="BW79" i="8"/>
  <c r="CM79" i="8" s="1"/>
  <c r="BT79" i="8"/>
  <c r="AW80" i="5"/>
  <c r="W80" i="8"/>
  <c r="AV80" i="5"/>
  <c r="AJ80" i="5"/>
  <c r="B80" i="9"/>
  <c r="W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CD79" i="8"/>
  <c r="CT79" i="8" s="1"/>
  <c r="AE79" i="7"/>
  <c r="Q79" i="7"/>
  <c r="DI82" i="5"/>
  <c r="AB82" i="1"/>
  <c r="V82" i="2"/>
  <c r="AC81" i="1"/>
  <c r="DA81" i="5"/>
  <c r="DG81" i="5" s="1" a="1"/>
  <c r="DG81" i="5" s="1"/>
  <c r="AE91" i="9"/>
  <c r="AI91" i="9"/>
  <c r="N67" i="1"/>
  <c r="S84" i="2"/>
  <c r="N85" i="2"/>
  <c r="R85" i="2"/>
  <c r="Q84" i="2"/>
  <c r="P86" i="2"/>
  <c r="O86" i="2"/>
  <c r="J86" i="10"/>
  <c r="M85" i="2"/>
  <c r="AG79" i="7" l="1"/>
  <c r="AF79" i="7"/>
  <c r="O89" i="1"/>
  <c r="BL96" i="5" a="1"/>
  <c r="BL96" i="5" s="1"/>
  <c r="O78" i="8"/>
  <c r="BS80" i="8"/>
  <c r="BY80" i="8" s="1"/>
  <c r="BO80" i="8"/>
  <c r="BK80" i="8"/>
  <c r="BL80" i="8"/>
  <c r="BI80" i="8"/>
  <c r="BJ80" i="8"/>
  <c r="BG80" i="8"/>
  <c r="BH80" i="8"/>
  <c r="BF80" i="8"/>
  <c r="AP80" i="5"/>
  <c r="AC80" i="10"/>
  <c r="X80" i="10" s="1"/>
  <c r="AO80" i="5"/>
  <c r="AN80" i="5"/>
  <c r="AM80" i="5"/>
  <c r="AS84" i="5"/>
  <c r="E88" i="8"/>
  <c r="CY78" i="8"/>
  <c r="G78" i="1" s="1"/>
  <c r="M78" i="8" s="1"/>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F92" i="9"/>
  <c r="C82" i="5"/>
  <c r="F82" i="5" s="1"/>
  <c r="B79" i="14"/>
  <c r="AI79" i="7"/>
  <c r="BW80" i="8"/>
  <c r="CM80" i="8" s="1"/>
  <c r="BX80" i="8"/>
  <c r="CO80" i="8" s="1"/>
  <c r="CP80" i="8" s="1"/>
  <c r="CC80" i="8"/>
  <c r="CS80" i="8" s="1"/>
  <c r="BV80" i="8"/>
  <c r="BT80" i="8"/>
  <c r="BU80" i="8"/>
  <c r="AQ79" i="5"/>
  <c r="CD80" i="8"/>
  <c r="CT80" i="8" s="1"/>
  <c r="AR79" i="5"/>
  <c r="Q80" i="7"/>
  <c r="AE80" i="7"/>
  <c r="O79" i="8"/>
  <c r="AD79" i="11"/>
  <c r="AI79" i="1" s="1"/>
  <c r="AC79" i="11"/>
  <c r="T79" i="8" s="1"/>
  <c r="Z79" i="11"/>
  <c r="AB79" i="11"/>
  <c r="P79" i="8" s="1"/>
  <c r="Y79" i="11"/>
  <c r="AH79" i="1" s="1"/>
  <c r="N80" i="11"/>
  <c r="AA79" i="11"/>
  <c r="AK79" i="1" s="1"/>
  <c r="CU79" i="8"/>
  <c r="CZ83" i="5"/>
  <c r="AW81" i="5"/>
  <c r="AV81" i="5"/>
  <c r="A81" i="10"/>
  <c r="AA81" i="10" s="1"/>
  <c r="BT81" i="5"/>
  <c r="A81" i="11"/>
  <c r="AJ81" i="5"/>
  <c r="W81" i="8"/>
  <c r="B81" i="7"/>
  <c r="E81" i="1"/>
  <c r="B81" i="9"/>
  <c r="W81" i="9" s="1"/>
  <c r="AI81" i="5"/>
  <c r="AB81" i="8"/>
  <c r="BM81" i="8" s="1"/>
  <c r="J82" i="2"/>
  <c r="CK79" i="8"/>
  <c r="V83" i="2"/>
  <c r="AC82" i="1"/>
  <c r="DA82" i="5"/>
  <c r="DG82" i="5" s="1" a="1"/>
  <c r="DG82" i="5" s="1"/>
  <c r="AB83" i="1"/>
  <c r="DI83" i="5"/>
  <c r="AE92" i="9"/>
  <c r="AI92" i="9"/>
  <c r="N68" i="1"/>
  <c r="S85" i="2"/>
  <c r="N86" i="2"/>
  <c r="R86" i="2"/>
  <c r="Q85" i="2"/>
  <c r="J87" i="10"/>
  <c r="P87" i="2"/>
  <c r="M86" i="2"/>
  <c r="O87" i="2"/>
  <c r="AG80" i="7" l="1"/>
  <c r="AI80" i="7" s="1"/>
  <c r="AF80" i="7"/>
  <c r="O90" i="1"/>
  <c r="BL97" i="5" a="1"/>
  <c r="BL97" i="5" s="1"/>
  <c r="BZ80" i="8"/>
  <c r="CQ80" i="8" s="1"/>
  <c r="CR80" i="8" s="1"/>
  <c r="BS81" i="8"/>
  <c r="BY81" i="8" s="1"/>
  <c r="BO81" i="8"/>
  <c r="BK81" i="8"/>
  <c r="BL81" i="8"/>
  <c r="BI81" i="8"/>
  <c r="BJ81" i="8"/>
  <c r="BG81" i="8"/>
  <c r="BH81" i="8"/>
  <c r="BF81" i="8"/>
  <c r="AP81" i="5"/>
  <c r="AN81" i="5"/>
  <c r="AC81" i="10"/>
  <c r="X81" i="10" s="1"/>
  <c r="AO81" i="5"/>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F93" i="9"/>
  <c r="CK80" i="8"/>
  <c r="J83" i="2"/>
  <c r="C83" i="5"/>
  <c r="F83" i="5" s="1"/>
  <c r="CU80" i="8"/>
  <c r="BT81" i="8"/>
  <c r="CC81" i="8"/>
  <c r="CS81" i="8" s="1"/>
  <c r="BU81" i="8"/>
  <c r="BX81" i="8"/>
  <c r="CO81" i="8" s="1"/>
  <c r="CP81" i="8" s="1"/>
  <c r="BV81" i="8"/>
  <c r="BW81" i="8"/>
  <c r="CM81" i="8" s="1"/>
  <c r="AQ80" i="5"/>
  <c r="Q81" i="7"/>
  <c r="AE81" i="7"/>
  <c r="AR80" i="5"/>
  <c r="B80" i="14"/>
  <c r="CZ84" i="5"/>
  <c r="AW82" i="5"/>
  <c r="AB82" i="8"/>
  <c r="BM82" i="8" s="1"/>
  <c r="B82" i="7"/>
  <c r="A82" i="10"/>
  <c r="AA82" i="10" s="1"/>
  <c r="BT82" i="5"/>
  <c r="AV82" i="5"/>
  <c r="AJ82" i="5"/>
  <c r="E82" i="1"/>
  <c r="AI82" i="5"/>
  <c r="B82" i="9"/>
  <c r="W82" i="9" s="1"/>
  <c r="A82" i="11"/>
  <c r="W82" i="8"/>
  <c r="AB80" i="11"/>
  <c r="P80" i="8" s="1"/>
  <c r="Y80" i="11"/>
  <c r="AH80" i="1" s="1"/>
  <c r="AD80" i="11"/>
  <c r="AI80" i="1" s="1"/>
  <c r="N81" i="11"/>
  <c r="Z80" i="11"/>
  <c r="AA80" i="11"/>
  <c r="AK80" i="1" s="1"/>
  <c r="AC80" i="11"/>
  <c r="T80" i="8" s="1"/>
  <c r="O80" i="8"/>
  <c r="CD81" i="8"/>
  <c r="CT81" i="8" s="1"/>
  <c r="AB84" i="1"/>
  <c r="DI84" i="5"/>
  <c r="J84" i="2"/>
  <c r="AC83" i="1"/>
  <c r="DA83" i="5"/>
  <c r="DG83" i="5" s="1" a="1"/>
  <c r="DG83" i="5" s="1"/>
  <c r="AE93" i="9"/>
  <c r="AI93" i="9"/>
  <c r="N69" i="1"/>
  <c r="S86" i="2"/>
  <c r="N87" i="2"/>
  <c r="R87" i="2"/>
  <c r="Q86" i="2"/>
  <c r="M87" i="2"/>
  <c r="J88" i="10"/>
  <c r="P88" i="2"/>
  <c r="O88" i="2"/>
  <c r="AG81" i="7" l="1"/>
  <c r="AF81" i="7"/>
  <c r="O91" i="1"/>
  <c r="BL98" i="5" a="1"/>
  <c r="BL98" i="5" s="1"/>
  <c r="AP82" i="5"/>
  <c r="BZ81" i="8"/>
  <c r="CQ81" i="8" s="1"/>
  <c r="CR81" i="8" s="1"/>
  <c r="BS82" i="8"/>
  <c r="BZ82" i="8" s="1"/>
  <c r="BO82" i="8"/>
  <c r="BK82" i="8"/>
  <c r="BL82" i="8"/>
  <c r="BI82" i="8"/>
  <c r="BJ82" i="8"/>
  <c r="BG82" i="8"/>
  <c r="BH82" i="8"/>
  <c r="BF82" i="8"/>
  <c r="AC82" i="10"/>
  <c r="X82" i="10" s="1"/>
  <c r="AO82" i="5"/>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F94" i="9"/>
  <c r="AJ83" i="5"/>
  <c r="AB83" i="8"/>
  <c r="BM83" i="8" s="1"/>
  <c r="AV83" i="5"/>
  <c r="E83" i="1"/>
  <c r="B83" i="7"/>
  <c r="AI83" i="5"/>
  <c r="A83" i="10"/>
  <c r="AA83" i="10" s="1"/>
  <c r="B83" i="9"/>
  <c r="W83" i="9" s="1"/>
  <c r="AW83" i="5"/>
  <c r="BT83" i="5"/>
  <c r="W83" i="8"/>
  <c r="AQ81" i="5"/>
  <c r="CD82" i="8"/>
  <c r="CT82" i="8" s="1"/>
  <c r="V84" i="2"/>
  <c r="C84" i="5"/>
  <c r="F84" i="5" s="1"/>
  <c r="CK81" i="8"/>
  <c r="CZ85" i="5"/>
  <c r="CU81" i="8"/>
  <c r="AA81" i="11"/>
  <c r="AK81" i="1" s="1"/>
  <c r="AB81" i="11"/>
  <c r="P81" i="8" s="1"/>
  <c r="Z81" i="11"/>
  <c r="Y81" i="11"/>
  <c r="AH81" i="1" s="1"/>
  <c r="AC81" i="11"/>
  <c r="T81" i="8" s="1"/>
  <c r="AD81" i="11"/>
  <c r="AI81" i="1" s="1"/>
  <c r="N82" i="11"/>
  <c r="AE82" i="7"/>
  <c r="Q82" i="7"/>
  <c r="O81" i="8"/>
  <c r="B81" i="14"/>
  <c r="AI81" i="7"/>
  <c r="AR81" i="5"/>
  <c r="BV82" i="8"/>
  <c r="BW82" i="8"/>
  <c r="CM82" i="8" s="1"/>
  <c r="BT82" i="8"/>
  <c r="BU82" i="8"/>
  <c r="BX82" i="8"/>
  <c r="CO82" i="8" s="1"/>
  <c r="CP82" i="8" s="1"/>
  <c r="CC82" i="8"/>
  <c r="CS82" i="8" s="1"/>
  <c r="C85" i="5"/>
  <c r="AC84" i="1"/>
  <c r="DA84" i="5"/>
  <c r="DG84" i="5" s="1" a="1"/>
  <c r="DG84" i="5" s="1"/>
  <c r="AB85" i="1"/>
  <c r="DI85" i="5"/>
  <c r="AE94" i="9"/>
  <c r="AI94" i="9"/>
  <c r="N70" i="1"/>
  <c r="S87" i="2"/>
  <c r="N88" i="2"/>
  <c r="R88" i="2"/>
  <c r="Q87" i="2"/>
  <c r="P89" i="2"/>
  <c r="J89" i="10"/>
  <c r="O89" i="2"/>
  <c r="M88" i="2"/>
  <c r="AG82" i="7" l="1"/>
  <c r="AF82" i="7"/>
  <c r="O92" i="1"/>
  <c r="BL99" i="5" a="1"/>
  <c r="BL99" i="5" s="1"/>
  <c r="BY82" i="8"/>
  <c r="CQ82" i="8" s="1"/>
  <c r="CR82" i="8" s="1"/>
  <c r="BS83" i="8"/>
  <c r="BZ83" i="8" s="1"/>
  <c r="BO83" i="8"/>
  <c r="BK83" i="8"/>
  <c r="BL83" i="8"/>
  <c r="BI83" i="8"/>
  <c r="BJ83" i="8"/>
  <c r="BG83" i="8"/>
  <c r="BH83" i="8"/>
  <c r="BF83" i="8"/>
  <c r="AP83" i="5"/>
  <c r="AC83" i="10"/>
  <c r="X83" i="10" s="1"/>
  <c r="AO83" i="5"/>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T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F95" i="9"/>
  <c r="CU82" i="8"/>
  <c r="CD83" i="8"/>
  <c r="CT83" i="8" s="1"/>
  <c r="BT83" i="8"/>
  <c r="BU83" i="8"/>
  <c r="BX83" i="8"/>
  <c r="CO83" i="8" s="1"/>
  <c r="CP83" i="8" s="1"/>
  <c r="BV83" i="8"/>
  <c r="CC83" i="8"/>
  <c r="CS83" i="8" s="1"/>
  <c r="BW83" i="8"/>
  <c r="CM83" i="8" s="1"/>
  <c r="CK82" i="8"/>
  <c r="Q83" i="7"/>
  <c r="AE83" i="7"/>
  <c r="AQ82" i="5"/>
  <c r="AR82" i="5"/>
  <c r="B82" i="14"/>
  <c r="AI82" i="7"/>
  <c r="J85" i="2"/>
  <c r="AW84" i="5"/>
  <c r="B84" i="9"/>
  <c r="W84" i="9" s="1"/>
  <c r="AI84" i="5"/>
  <c r="A84" i="11"/>
  <c r="AB84" i="8"/>
  <c r="BM84" i="8" s="1"/>
  <c r="BT84" i="5"/>
  <c r="A84" i="10"/>
  <c r="AA84" i="10" s="1"/>
  <c r="B84" i="7"/>
  <c r="AV84" i="5"/>
  <c r="W84" i="8"/>
  <c r="E84" i="1"/>
  <c r="AJ84" i="5"/>
  <c r="V85" i="2"/>
  <c r="CZ86" i="5"/>
  <c r="AB86" i="1"/>
  <c r="DI86" i="5"/>
  <c r="J86" i="2"/>
  <c r="AC85" i="1"/>
  <c r="DA85" i="5"/>
  <c r="DG85" i="5" s="1" a="1"/>
  <c r="DG85" i="5" s="1"/>
  <c r="AE95" i="9"/>
  <c r="AI95" i="9"/>
  <c r="N71" i="1"/>
  <c r="S88" i="2"/>
  <c r="N89" i="2"/>
  <c r="R89" i="2"/>
  <c r="Q88" i="2"/>
  <c r="O90" i="2"/>
  <c r="J90" i="10"/>
  <c r="P90" i="2"/>
  <c r="U1269" i="14"/>
  <c r="U1270" i="14" s="1"/>
  <c r="M89" i="2"/>
  <c r="AG83" i="7" l="1"/>
  <c r="AF83" i="7"/>
  <c r="O93" i="1"/>
  <c r="BL100" i="5" a="1"/>
  <c r="BL100" i="5" s="1"/>
  <c r="BY83" i="8"/>
  <c r="CQ83" i="8" s="1"/>
  <c r="CR83" i="8" s="1"/>
  <c r="O82" i="8"/>
  <c r="BS84" i="8"/>
  <c r="BY84" i="8" s="1"/>
  <c r="BO84" i="8"/>
  <c r="BK84" i="8"/>
  <c r="BL84" i="8"/>
  <c r="BI84" i="8"/>
  <c r="BJ84" i="8"/>
  <c r="BG84" i="8"/>
  <c r="BH84" i="8"/>
  <c r="BF84" i="8"/>
  <c r="AP84" i="5"/>
  <c r="AC84" i="10"/>
  <c r="X84" i="10" s="1"/>
  <c r="AO84" i="5"/>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V85" i="5"/>
  <c r="A85" i="10"/>
  <c r="AA85" i="10" s="1"/>
  <c r="W85" i="8"/>
  <c r="AJ85" i="5"/>
  <c r="AI85" i="5"/>
  <c r="AW85" i="5"/>
  <c r="BD85" i="8"/>
  <c r="BP85" i="8" s="1"/>
  <c r="E85" i="1"/>
  <c r="DA85" i="8"/>
  <c r="DB85" i="8" s="1"/>
  <c r="A85" i="11"/>
  <c r="Y84" i="11" s="1"/>
  <c r="AH84" i="1" s="1"/>
  <c r="BE85" i="8"/>
  <c r="BN85" i="8" s="1"/>
  <c r="B85" i="7"/>
  <c r="AE85" i="7" s="1"/>
  <c r="CF85" i="8"/>
  <c r="B85" i="9"/>
  <c r="W85" i="9" s="1"/>
  <c r="B87" i="5"/>
  <c r="AH87" i="5"/>
  <c r="BU87" i="5"/>
  <c r="B87" i="2"/>
  <c r="B87" i="1"/>
  <c r="BG87" i="1" s="1"/>
  <c r="BY89" i="11"/>
  <c r="AA88" i="7"/>
  <c r="AE88" i="8" s="1"/>
  <c r="AS88" i="8" s="1"/>
  <c r="K88" i="10"/>
  <c r="L88" i="11"/>
  <c r="H88" i="5"/>
  <c r="C87" i="10"/>
  <c r="E87" i="7"/>
  <c r="CL82" i="8"/>
  <c r="CY82" i="8" s="1"/>
  <c r="G82" i="1" s="1"/>
  <c r="M82" i="8" s="1"/>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F96" i="9"/>
  <c r="AQ83" i="5"/>
  <c r="AR83" i="5"/>
  <c r="CU83" i="8"/>
  <c r="B83" i="14"/>
  <c r="AI83" i="7"/>
  <c r="CK83" i="8"/>
  <c r="V86" i="2"/>
  <c r="CD84" i="8"/>
  <c r="CT84" i="8" s="1"/>
  <c r="Y83" i="11"/>
  <c r="AH83" i="1" s="1"/>
  <c r="Z83" i="11"/>
  <c r="AA83" i="11"/>
  <c r="AK83" i="1" s="1"/>
  <c r="AC83" i="11"/>
  <c r="T83" i="8" s="1"/>
  <c r="AB83" i="11"/>
  <c r="P83" i="8" s="1"/>
  <c r="N84" i="11"/>
  <c r="AD83" i="11"/>
  <c r="AI83" i="1" s="1"/>
  <c r="C86" i="5"/>
  <c r="F86" i="5" s="1"/>
  <c r="BT84" i="8"/>
  <c r="BU84" i="8"/>
  <c r="CC84" i="8"/>
  <c r="CS84" i="8" s="1"/>
  <c r="BX84" i="8"/>
  <c r="CO84" i="8" s="1"/>
  <c r="CP84" i="8" s="1"/>
  <c r="BW84" i="8"/>
  <c r="CM84" i="8" s="1"/>
  <c r="BV84" i="8"/>
  <c r="CZ87" i="5"/>
  <c r="AE84" i="7"/>
  <c r="Q84" i="7"/>
  <c r="C87" i="5"/>
  <c r="AC86" i="1"/>
  <c r="DA86" i="5"/>
  <c r="DG86" i="5" s="1" a="1"/>
  <c r="DG86" i="5" s="1"/>
  <c r="DI87" i="5"/>
  <c r="AB87" i="1"/>
  <c r="AE96" i="9"/>
  <c r="AI96" i="9"/>
  <c r="N72" i="1"/>
  <c r="S89" i="2"/>
  <c r="N90" i="2"/>
  <c r="R90" i="2"/>
  <c r="Q89" i="2"/>
  <c r="J91" i="10"/>
  <c r="P91" i="2"/>
  <c r="M90" i="2"/>
  <c r="O91" i="2"/>
  <c r="AG85" i="7" l="1"/>
  <c r="AI85" i="7" s="1"/>
  <c r="AF85" i="7"/>
  <c r="AG84" i="7"/>
  <c r="AF84" i="7"/>
  <c r="O94" i="1"/>
  <c r="BL101" i="5" a="1"/>
  <c r="BL101" i="5" s="1"/>
  <c r="O83" i="8"/>
  <c r="BZ84" i="8"/>
  <c r="CQ84" i="8" s="1"/>
  <c r="CR84" i="8" s="1"/>
  <c r="BS85" i="8"/>
  <c r="BZ85" i="8" s="1"/>
  <c r="BO85" i="8"/>
  <c r="BK85" i="8"/>
  <c r="BL85" i="8"/>
  <c r="BI85" i="8"/>
  <c r="BJ85" i="8"/>
  <c r="BG85" i="8"/>
  <c r="BH85" i="8"/>
  <c r="BF85" i="8"/>
  <c r="AP85" i="5"/>
  <c r="AC85" i="10"/>
  <c r="X85" i="10" s="1"/>
  <c r="AO85" i="5"/>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B87" i="8" s="1"/>
  <c r="BM87" i="8" s="1"/>
  <c r="BT85" i="8"/>
  <c r="CJ85" i="8" s="1"/>
  <c r="CN85" i="8" s="1"/>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Y83" i="8" s="1"/>
  <c r="G83" i="1" s="1"/>
  <c r="M83" i="8" s="1"/>
  <c r="CJ84" i="8"/>
  <c r="CN84" i="8" s="1"/>
  <c r="DA86" i="8"/>
  <c r="DB86" i="8" s="1"/>
  <c r="CF86" i="8"/>
  <c r="CB91" i="8"/>
  <c r="BR86" i="8"/>
  <c r="BD86" i="8"/>
  <c r="BP86" i="8" s="1"/>
  <c r="BE86" i="8"/>
  <c r="BN86" i="8" s="1"/>
  <c r="AF97" i="9"/>
  <c r="CU84" i="8"/>
  <c r="J87" i="2"/>
  <c r="CK84" i="8"/>
  <c r="V87" i="2"/>
  <c r="AQ84" i="5"/>
  <c r="CZ88" i="5"/>
  <c r="O84" i="8"/>
  <c r="AR84" i="5"/>
  <c r="B84" i="14"/>
  <c r="AI84" i="7"/>
  <c r="AW86" i="5"/>
  <c r="W86" i="8"/>
  <c r="E86" i="1"/>
  <c r="AI86" i="5"/>
  <c r="B86" i="9"/>
  <c r="W86" i="9" s="1"/>
  <c r="A86" i="11"/>
  <c r="AJ86" i="5"/>
  <c r="AB86" i="8"/>
  <c r="BM86" i="8" s="1"/>
  <c r="BT86" i="5"/>
  <c r="AV86" i="5"/>
  <c r="A86" i="10"/>
  <c r="AA86" i="10" s="1"/>
  <c r="B86" i="7"/>
  <c r="AB88" i="1"/>
  <c r="DI88" i="5"/>
  <c r="V88" i="2"/>
  <c r="AC87" i="1"/>
  <c r="DA87" i="5"/>
  <c r="DG87" i="5" s="1" a="1"/>
  <c r="DG87" i="5" s="1"/>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O95" i="1" l="1"/>
  <c r="BL102" i="5" a="1"/>
  <c r="BL102" i="5" s="1"/>
  <c r="BY85" i="8"/>
  <c r="CQ85" i="8" s="1"/>
  <c r="CR85" i="8" s="1"/>
  <c r="BS86" i="8"/>
  <c r="BY86" i="8" s="1"/>
  <c r="BO86" i="8"/>
  <c r="BK87" i="8"/>
  <c r="BL87" i="8"/>
  <c r="BK86" i="8"/>
  <c r="BL86" i="8"/>
  <c r="BI87" i="8"/>
  <c r="BJ87" i="8"/>
  <c r="BI86" i="8"/>
  <c r="BJ86" i="8"/>
  <c r="BG87" i="8"/>
  <c r="BH87" i="8"/>
  <c r="BG86" i="8"/>
  <c r="BH86" i="8"/>
  <c r="BF87" i="8"/>
  <c r="BF86" i="8"/>
  <c r="AP86" i="5"/>
  <c r="AC86" i="10"/>
  <c r="X86" i="10" s="1"/>
  <c r="AO86" i="5"/>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87" i="11"/>
  <c r="Y86" i="11" s="1"/>
  <c r="AH86" i="1" s="1"/>
  <c r="BT87" i="5"/>
  <c r="E87" i="1"/>
  <c r="AI87" i="5"/>
  <c r="W87" i="8"/>
  <c r="B87" i="9"/>
  <c r="W87" i="9" s="1"/>
  <c r="DA87" i="8"/>
  <c r="DB87" i="8" s="1"/>
  <c r="AV87" i="5"/>
  <c r="BE87" i="8"/>
  <c r="BN87" i="8" s="1"/>
  <c r="A87" i="10"/>
  <c r="AA87" i="10" s="1"/>
  <c r="AR85" i="5"/>
  <c r="AJ87" i="5"/>
  <c r="AW87" i="5"/>
  <c r="BR87" i="8"/>
  <c r="BV87" i="8" s="1"/>
  <c r="BD87" i="8"/>
  <c r="BP87" i="8" s="1"/>
  <c r="O85" i="8"/>
  <c r="CU85" i="8"/>
  <c r="AQ85" i="5"/>
  <c r="CL84" i="8"/>
  <c r="CY84" i="8" s="1"/>
  <c r="G84" i="1" s="1"/>
  <c r="M84" i="8" s="1"/>
  <c r="B89" i="5"/>
  <c r="CL85" i="8"/>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N87" i="7"/>
  <c r="AF98" i="9"/>
  <c r="J88" i="2"/>
  <c r="CZ89" i="5"/>
  <c r="BV86" i="8"/>
  <c r="BW86" i="8"/>
  <c r="CM86" i="8" s="1"/>
  <c r="BT86" i="8"/>
  <c r="BU86" i="8"/>
  <c r="CC86" i="8"/>
  <c r="CS86" i="8" s="1"/>
  <c r="BX86" i="8"/>
  <c r="CO86" i="8" s="1"/>
  <c r="CP86" i="8" s="1"/>
  <c r="C88" i="5"/>
  <c r="F88" i="5" s="1"/>
  <c r="CD86" i="8"/>
  <c r="CT86" i="8" s="1"/>
  <c r="AD85" i="11"/>
  <c r="AI85" i="1" s="1"/>
  <c r="AA85" i="11"/>
  <c r="AK85" i="1" s="1"/>
  <c r="N86" i="11"/>
  <c r="AB85" i="11"/>
  <c r="P85" i="8" s="1"/>
  <c r="Y85" i="11"/>
  <c r="AH85" i="1" s="1"/>
  <c r="Z85" i="11"/>
  <c r="AC85" i="11"/>
  <c r="T85" i="8" s="1"/>
  <c r="Q86" i="7"/>
  <c r="AE86" i="7"/>
  <c r="V89" i="2"/>
  <c r="AC88" i="1"/>
  <c r="DA88" i="5"/>
  <c r="DG88" i="5" s="1" a="1"/>
  <c r="DG88" i="5" s="1"/>
  <c r="AB89" i="1"/>
  <c r="DI89" i="5"/>
  <c r="AE98" i="9"/>
  <c r="AI98" i="9"/>
  <c r="N74" i="1"/>
  <c r="S91" i="2"/>
  <c r="N92" i="2"/>
  <c r="R92" i="2"/>
  <c r="Q91" i="2"/>
  <c r="P93" i="2"/>
  <c r="O93" i="2"/>
  <c r="M92" i="2"/>
  <c r="J93" i="10"/>
  <c r="AG86" i="7" l="1"/>
  <c r="AF86" i="7"/>
  <c r="AG87" i="7"/>
  <c r="AI87" i="7" s="1"/>
  <c r="AF87" i="7"/>
  <c r="O96" i="1"/>
  <c r="BL103" i="5" a="1"/>
  <c r="BL103" i="5" s="1"/>
  <c r="BZ86" i="8"/>
  <c r="CQ86" i="8" s="1"/>
  <c r="CR86" i="8" s="1"/>
  <c r="BS87" i="8"/>
  <c r="BY87" i="8" s="1"/>
  <c r="BO87" i="8"/>
  <c r="AP87" i="5"/>
  <c r="AC87" i="10"/>
  <c r="X87" i="10" s="1"/>
  <c r="AO87" i="5"/>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CJ87" i="8" s="1"/>
  <c r="CN87" i="8" s="1"/>
  <c r="BU87" i="8"/>
  <c r="CK87" i="8" s="1"/>
  <c r="CC87" i="8"/>
  <c r="CS87" i="8" s="1"/>
  <c r="CY85" i="8"/>
  <c r="G85" i="1" s="1"/>
  <c r="M85"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F99" i="9"/>
  <c r="O86" i="8"/>
  <c r="AW88" i="5"/>
  <c r="AV88" i="5"/>
  <c r="W88" i="8"/>
  <c r="E88" i="1"/>
  <c r="B88" i="9"/>
  <c r="W88" i="9" s="1"/>
  <c r="AJ88" i="5"/>
  <c r="AI88" i="5"/>
  <c r="A88" i="11"/>
  <c r="AB88" i="8"/>
  <c r="BM88" i="8" s="1"/>
  <c r="BT88" i="5"/>
  <c r="A88" i="10"/>
  <c r="AA88" i="10" s="1"/>
  <c r="B88" i="7"/>
  <c r="CZ90" i="5"/>
  <c r="AR86" i="5"/>
  <c r="J89" i="2"/>
  <c r="AQ86" i="5"/>
  <c r="B86" i="14"/>
  <c r="AI86" i="7"/>
  <c r="CU86" i="8"/>
  <c r="C89" i="5"/>
  <c r="F89" i="5" s="1"/>
  <c r="CK86" i="8"/>
  <c r="AB90" i="1"/>
  <c r="DI90" i="5"/>
  <c r="V90" i="2"/>
  <c r="AC89" i="1"/>
  <c r="DA89" i="5"/>
  <c r="DG89" i="5" s="1" a="1"/>
  <c r="DG89" i="5" s="1"/>
  <c r="AE99" i="9"/>
  <c r="AI99" i="9"/>
  <c r="AF1269" i="14"/>
  <c r="AF1270" i="14" s="1"/>
  <c r="N75" i="1"/>
  <c r="S92" i="2"/>
  <c r="N93" i="2"/>
  <c r="R93" i="2"/>
  <c r="Q92" i="2"/>
  <c r="J94" i="10"/>
  <c r="M93" i="2"/>
  <c r="O94" i="2"/>
  <c r="P94" i="2"/>
  <c r="O97" i="1" l="1"/>
  <c r="BL104" i="5" a="1"/>
  <c r="BL104" i="5" s="1"/>
  <c r="BZ87" i="8"/>
  <c r="CQ87" i="8" s="1"/>
  <c r="CR87" i="8" s="1"/>
  <c r="BO88" i="8"/>
  <c r="BK88" i="8"/>
  <c r="BL88" i="8"/>
  <c r="BI88" i="8"/>
  <c r="BJ88" i="8"/>
  <c r="BG88" i="8"/>
  <c r="BH88" i="8"/>
  <c r="BF88" i="8"/>
  <c r="AP88" i="5"/>
  <c r="AN88" i="5"/>
  <c r="AC88" i="10"/>
  <c r="X88" i="10" s="1"/>
  <c r="AO88" i="5"/>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O87" i="8"/>
  <c r="B91" i="5"/>
  <c r="CL87" i="8"/>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F100" i="9"/>
  <c r="AW89" i="5"/>
  <c r="A89" i="11"/>
  <c r="A89" i="10"/>
  <c r="AA89" i="10" s="1"/>
  <c r="B89" i="7"/>
  <c r="B89" i="9"/>
  <c r="W89" i="9" s="1"/>
  <c r="AB89" i="8"/>
  <c r="BM89" i="8" s="1"/>
  <c r="BT89" i="5"/>
  <c r="AV89" i="5"/>
  <c r="AJ89" i="5"/>
  <c r="W89" i="8"/>
  <c r="E89" i="1"/>
  <c r="AI89" i="5"/>
  <c r="J90" i="2"/>
  <c r="AB87" i="11"/>
  <c r="P87" i="8" s="1"/>
  <c r="AC87" i="11"/>
  <c r="T87" i="8" s="1"/>
  <c r="AD87" i="11"/>
  <c r="AI87" i="1" s="1"/>
  <c r="Y87" i="11"/>
  <c r="AH87" i="1" s="1"/>
  <c r="Z87" i="11"/>
  <c r="N88" i="11"/>
  <c r="AA87" i="11"/>
  <c r="AK87" i="1" s="1"/>
  <c r="C90" i="5"/>
  <c r="F90" i="5" s="1"/>
  <c r="AE88" i="7"/>
  <c r="Q88" i="7"/>
  <c r="BW88" i="8"/>
  <c r="CM88" i="8" s="1"/>
  <c r="BT88" i="8"/>
  <c r="BU88" i="8"/>
  <c r="BV88" i="8"/>
  <c r="BX88" i="8"/>
  <c r="CO88" i="8" s="1"/>
  <c r="CP88" i="8" s="1"/>
  <c r="CC88" i="8"/>
  <c r="CS88" i="8" s="1"/>
  <c r="CZ91" i="5"/>
  <c r="CD88" i="8"/>
  <c r="CT88" i="8" s="1"/>
  <c r="C91" i="5"/>
  <c r="AC90" i="1"/>
  <c r="DA90" i="5"/>
  <c r="DG90" i="5" s="1" a="1"/>
  <c r="DG90" i="5" s="1"/>
  <c r="AB91" i="1"/>
  <c r="DI91" i="5"/>
  <c r="AE100" i="9"/>
  <c r="AI100" i="9"/>
  <c r="N1269" i="14"/>
  <c r="N1270" i="14" s="1"/>
  <c r="N76" i="1"/>
  <c r="S93" i="2"/>
  <c r="N94" i="2"/>
  <c r="R94" i="2"/>
  <c r="Q93" i="2"/>
  <c r="M94" i="2"/>
  <c r="J95" i="10"/>
  <c r="P95" i="2"/>
  <c r="O95" i="2"/>
  <c r="AG88" i="7" l="1"/>
  <c r="AF88" i="7"/>
  <c r="O98" i="1"/>
  <c r="BL105" i="5" a="1"/>
  <c r="BL105" i="5" s="1"/>
  <c r="BS89" i="8"/>
  <c r="BZ89" i="8" s="1"/>
  <c r="BO89" i="8"/>
  <c r="BK89" i="8"/>
  <c r="BL89" i="8"/>
  <c r="BI89" i="8"/>
  <c r="BJ89" i="8"/>
  <c r="AN89" i="5"/>
  <c r="BG89" i="8"/>
  <c r="BH89" i="8"/>
  <c r="BF89" i="8"/>
  <c r="AP89" i="5"/>
  <c r="AC89" i="10"/>
  <c r="X89" i="10" s="1"/>
  <c r="AO89" i="5"/>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F101" i="9"/>
  <c r="AQ88" i="5"/>
  <c r="CK88" i="8"/>
  <c r="AR88" i="5"/>
  <c r="V91" i="2"/>
  <c r="J91" i="2"/>
  <c r="B88" i="14"/>
  <c r="AI88" i="7"/>
  <c r="CZ92" i="5"/>
  <c r="AE89" i="7"/>
  <c r="Q89" i="7"/>
  <c r="CD89" i="8"/>
  <c r="CT89" i="8" s="1"/>
  <c r="AW90" i="5"/>
  <c r="BT90" i="5"/>
  <c r="AB90" i="8"/>
  <c r="BM90" i="8" s="1"/>
  <c r="AV90" i="5"/>
  <c r="A90" i="10"/>
  <c r="AA90" i="10" s="1"/>
  <c r="B90" i="7"/>
  <c r="E90" i="1"/>
  <c r="AJ90" i="5"/>
  <c r="W90" i="8"/>
  <c r="AI90" i="5"/>
  <c r="B90" i="9"/>
  <c r="W90" i="9" s="1"/>
  <c r="A90" i="11"/>
  <c r="Y88" i="11"/>
  <c r="AH88" i="1" s="1"/>
  <c r="AA88" i="11"/>
  <c r="AK88" i="1" s="1"/>
  <c r="AC88" i="11"/>
  <c r="T88" i="8" s="1"/>
  <c r="AD88" i="11"/>
  <c r="AI88" i="1" s="1"/>
  <c r="Z88" i="11"/>
  <c r="N89" i="11"/>
  <c r="AB88" i="11"/>
  <c r="P88" i="8" s="1"/>
  <c r="O88" i="8"/>
  <c r="BT89" i="8"/>
  <c r="BW89" i="8"/>
  <c r="CM89" i="8" s="1"/>
  <c r="BU89" i="8"/>
  <c r="CC89" i="8"/>
  <c r="CS89" i="8" s="1"/>
  <c r="BV89" i="8"/>
  <c r="BX89" i="8"/>
  <c r="CO89" i="8" s="1"/>
  <c r="CP89" i="8" s="1"/>
  <c r="CU88" i="8"/>
  <c r="AB92" i="1"/>
  <c r="DI92" i="5"/>
  <c r="V92" i="2"/>
  <c r="AC91" i="1"/>
  <c r="DA91" i="5"/>
  <c r="DG91" i="5" s="1" a="1"/>
  <c r="DG91" i="5" s="1"/>
  <c r="AE101" i="9"/>
  <c r="AI101" i="9"/>
  <c r="B65" i="4"/>
  <c r="N77" i="1"/>
  <c r="S94" i="2"/>
  <c r="N95" i="2"/>
  <c r="R95" i="2"/>
  <c r="Q94" i="2"/>
  <c r="O96" i="2"/>
  <c r="J96" i="10"/>
  <c r="P96" i="2"/>
  <c r="M95" i="2"/>
  <c r="AG89" i="7" l="1"/>
  <c r="AF89" i="7"/>
  <c r="O99" i="1"/>
  <c r="BL106" i="5" a="1"/>
  <c r="BL106" i="5" s="1"/>
  <c r="BY89" i="8"/>
  <c r="CQ89" i="8" s="1"/>
  <c r="CR89" i="8" s="1"/>
  <c r="AP90" i="5"/>
  <c r="BO90" i="8"/>
  <c r="BK90" i="8"/>
  <c r="BL90" i="8"/>
  <c r="BI90" i="8"/>
  <c r="BJ90" i="8"/>
  <c r="BG90" i="8"/>
  <c r="BH90" i="8"/>
  <c r="BF90" i="8"/>
  <c r="AC90" i="10"/>
  <c r="X90" i="10" s="1"/>
  <c r="AO90" i="5"/>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CF91" i="8"/>
  <c r="E91" i="1"/>
  <c r="B91" i="9"/>
  <c r="W91" i="9" s="1"/>
  <c r="AB91" i="8"/>
  <c r="BM91" i="8" s="1"/>
  <c r="DA91" i="8"/>
  <c r="DB91" i="8" s="1"/>
  <c r="A91" i="10"/>
  <c r="AA91" i="10" s="1"/>
  <c r="AW91" i="5"/>
  <c r="BE91" i="8"/>
  <c r="BN91" i="8" s="1"/>
  <c r="A91" i="11"/>
  <c r="Y90" i="11" s="1"/>
  <c r="AH90" i="1" s="1"/>
  <c r="AJ91" i="5"/>
  <c r="AI91" i="5"/>
  <c r="AV91" i="5"/>
  <c r="W91" i="8"/>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F102" i="9"/>
  <c r="AQ89" i="5"/>
  <c r="C92" i="5"/>
  <c r="F92" i="5" s="1"/>
  <c r="AE90" i="7"/>
  <c r="Q90" i="7"/>
  <c r="J92" i="2"/>
  <c r="CU89" i="8"/>
  <c r="CZ93" i="5"/>
  <c r="CK89" i="8"/>
  <c r="AC89" i="11"/>
  <c r="T89" i="8" s="1"/>
  <c r="AA89" i="11"/>
  <c r="AK89" i="1" s="1"/>
  <c r="Z89" i="11"/>
  <c r="AB89" i="11"/>
  <c r="P89" i="8" s="1"/>
  <c r="AD89" i="11"/>
  <c r="AI89" i="1" s="1"/>
  <c r="Y89" i="11"/>
  <c r="AH89" i="1" s="1"/>
  <c r="N90" i="11"/>
  <c r="AR89" i="5"/>
  <c r="B89" i="14"/>
  <c r="AI89" i="7"/>
  <c r="CD90" i="8"/>
  <c r="CT90" i="8" s="1"/>
  <c r="CC90" i="8"/>
  <c r="CS90" i="8" s="1"/>
  <c r="BX90" i="8"/>
  <c r="CO90" i="8" s="1"/>
  <c r="CP90" i="8" s="1"/>
  <c r="BV90" i="8"/>
  <c r="BW90" i="8"/>
  <c r="CM90" i="8" s="1"/>
  <c r="BT90" i="8"/>
  <c r="BU90" i="8"/>
  <c r="C93" i="5"/>
  <c r="AC92" i="1"/>
  <c r="DA92" i="5"/>
  <c r="DG92" i="5" s="1" a="1"/>
  <c r="DG92" i="5" s="1"/>
  <c r="AB93" i="1"/>
  <c r="DI93" i="5"/>
  <c r="AE102" i="9"/>
  <c r="AI102" i="9"/>
  <c r="N78" i="1"/>
  <c r="S95" i="2"/>
  <c r="N96" i="2"/>
  <c r="R96" i="2"/>
  <c r="Q95" i="2"/>
  <c r="P97" i="2"/>
  <c r="J97" i="10"/>
  <c r="M96" i="2"/>
  <c r="O97" i="2"/>
  <c r="AG91" i="7" l="1"/>
  <c r="AI91" i="7" s="1"/>
  <c r="AF91" i="7"/>
  <c r="AG90" i="7"/>
  <c r="AF90" i="7"/>
  <c r="O100" i="1"/>
  <c r="BL107" i="5" a="1"/>
  <c r="BL107" i="5" s="1"/>
  <c r="O89" i="8"/>
  <c r="BS91" i="8"/>
  <c r="BY91" i="8" s="1"/>
  <c r="BO91" i="8"/>
  <c r="BK91" i="8"/>
  <c r="BL91" i="8"/>
  <c r="BI91" i="8"/>
  <c r="BJ91" i="8"/>
  <c r="AP91" i="5"/>
  <c r="BG91" i="8"/>
  <c r="BH91" i="8"/>
  <c r="BF91" i="8"/>
  <c r="AC91" i="10"/>
  <c r="X91" i="10" s="1"/>
  <c r="AO91" i="5"/>
  <c r="AM91" i="5"/>
  <c r="AN91" i="5"/>
  <c r="AS95" i="5"/>
  <c r="E99" i="8"/>
  <c r="AK95" i="11"/>
  <c r="BU91" i="8"/>
  <c r="BV91" i="8"/>
  <c r="BT91" i="8"/>
  <c r="CJ91" i="8" s="1"/>
  <c r="CN91" i="8" s="1"/>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N91" i="7"/>
  <c r="Q91" i="7"/>
  <c r="AB90" i="11"/>
  <c r="P90" i="8" s="1"/>
  <c r="Z90" i="11"/>
  <c r="D92" i="9"/>
  <c r="AA90" i="11"/>
  <c r="AK90" i="1" s="1"/>
  <c r="N91" i="11"/>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Q90" i="8" s="1"/>
  <c r="CR90" i="8" s="1"/>
  <c r="CF92" i="8"/>
  <c r="CB97" i="8"/>
  <c r="BR92" i="8"/>
  <c r="CC92" i="8" s="1"/>
  <c r="CS92" i="8" s="1"/>
  <c r="BE92" i="8"/>
  <c r="BN92" i="8" s="1"/>
  <c r="BT92" i="5"/>
  <c r="BD92" i="8"/>
  <c r="BP92" i="8" s="1"/>
  <c r="AF103" i="9"/>
  <c r="A92" i="11"/>
  <c r="Y91" i="11" s="1"/>
  <c r="AH91" i="1" s="1"/>
  <c r="AV92" i="5"/>
  <c r="AI92" i="5"/>
  <c r="B92" i="9"/>
  <c r="W92" i="9" s="1"/>
  <c r="B92" i="7"/>
  <c r="Q92" i="7" s="1"/>
  <c r="AB92" i="8"/>
  <c r="BM92" i="8" s="1"/>
  <c r="A92" i="10"/>
  <c r="AA92" i="10" s="1"/>
  <c r="CU90" i="8"/>
  <c r="V93" i="2"/>
  <c r="AR90" i="5"/>
  <c r="AW92" i="5"/>
  <c r="AJ92" i="5"/>
  <c r="W92" i="8"/>
  <c r="E92" i="1"/>
  <c r="J93" i="2"/>
  <c r="CK90" i="8"/>
  <c r="B90" i="14"/>
  <c r="AI90" i="7"/>
  <c r="CZ94" i="5"/>
  <c r="AQ90" i="5"/>
  <c r="AB94" i="1"/>
  <c r="DI94" i="5"/>
  <c r="C94" i="5"/>
  <c r="AC93" i="1"/>
  <c r="DA93" i="5"/>
  <c r="DG93" i="5" s="1" a="1"/>
  <c r="DG93" i="5" s="1"/>
  <c r="AE103" i="9"/>
  <c r="AI103" i="9"/>
  <c r="N79" i="1"/>
  <c r="S96" i="2"/>
  <c r="N97" i="2"/>
  <c r="R97" i="2"/>
  <c r="Q96" i="2"/>
  <c r="O98" i="2"/>
  <c r="M97" i="2"/>
  <c r="J98" i="10"/>
  <c r="P98" i="2"/>
  <c r="O101" i="1" l="1"/>
  <c r="BL108" i="5" a="1"/>
  <c r="BL108" i="5" s="1"/>
  <c r="BZ91" i="8"/>
  <c r="CQ91" i="8" s="1"/>
  <c r="CR91" i="8" s="1"/>
  <c r="BS92" i="8"/>
  <c r="BZ92" i="8" s="1"/>
  <c r="BO92" i="8"/>
  <c r="BK92" i="8"/>
  <c r="BL92" i="8"/>
  <c r="BI92" i="8"/>
  <c r="BJ92" i="8"/>
  <c r="BG92" i="8"/>
  <c r="BH92" i="8"/>
  <c r="BF92" i="8"/>
  <c r="AP92" i="5"/>
  <c r="AC92" i="10"/>
  <c r="X92" i="10" s="1"/>
  <c r="AO92" i="5"/>
  <c r="AM92" i="5"/>
  <c r="AN92" i="5"/>
  <c r="AS96" i="5"/>
  <c r="E100" i="8"/>
  <c r="AK96" i="11"/>
  <c r="CU91" i="8"/>
  <c r="CK91" i="8"/>
  <c r="CL91" i="8" s="1"/>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W93" i="9" s="1"/>
  <c r="O91" i="8"/>
  <c r="BD93" i="8"/>
  <c r="BP93" i="8" s="1"/>
  <c r="W93" i="8"/>
  <c r="BT93" i="5"/>
  <c r="B93" i="7"/>
  <c r="AE93" i="7" s="1"/>
  <c r="A93" i="10"/>
  <c r="AA93" i="10" s="1"/>
  <c r="A93" i="11"/>
  <c r="N93" i="11" s="1"/>
  <c r="AW93" i="5"/>
  <c r="AI93" i="5"/>
  <c r="AJ93" i="5"/>
  <c r="DA93" i="8"/>
  <c r="DB93" i="8" s="1"/>
  <c r="E93" i="1"/>
  <c r="CF93" i="8"/>
  <c r="AV93" i="5"/>
  <c r="AB93" i="8"/>
  <c r="BM93" i="8" s="1"/>
  <c r="BE93" i="8"/>
  <c r="BN93" i="8" s="1"/>
  <c r="AR91" i="5"/>
  <c r="AQ91" i="5"/>
  <c r="F94" i="5"/>
  <c r="B94" i="7" s="1"/>
  <c r="AE94" i="7"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CY90" i="8" s="1"/>
  <c r="G90" i="1" s="1"/>
  <c r="M90" i="8" s="1"/>
  <c r="D93" i="9"/>
  <c r="O90" i="8"/>
  <c r="CB98" i="8"/>
  <c r="N92" i="7"/>
  <c r="AF104" i="9"/>
  <c r="BU92" i="8"/>
  <c r="BT92" i="8"/>
  <c r="BV92" i="8"/>
  <c r="BW92" i="8"/>
  <c r="CM92" i="8" s="1"/>
  <c r="BX92" i="8"/>
  <c r="CO92" i="8" s="1"/>
  <c r="CP92" i="8" s="1"/>
  <c r="AA91" i="11"/>
  <c r="AK91" i="1" s="1"/>
  <c r="AB91" i="11"/>
  <c r="P91" i="8" s="1"/>
  <c r="AD91" i="11"/>
  <c r="AI91" i="1" s="1"/>
  <c r="N92" i="11"/>
  <c r="AC91" i="11"/>
  <c r="T91" i="8" s="1"/>
  <c r="Z91" i="11"/>
  <c r="AE92" i="7"/>
  <c r="CD92" i="8"/>
  <c r="CT92" i="8" s="1"/>
  <c r="CU92" i="8" s="1"/>
  <c r="V94" i="2"/>
  <c r="CZ95" i="5"/>
  <c r="J94" i="2"/>
  <c r="V95" i="2"/>
  <c r="AC94" i="1"/>
  <c r="DA94" i="5"/>
  <c r="DG94" i="5" s="1" a="1"/>
  <c r="DG94" i="5" s="1"/>
  <c r="AB95" i="1"/>
  <c r="DI95" i="5"/>
  <c r="AE104" i="9"/>
  <c r="AI104" i="9"/>
  <c r="N80" i="1"/>
  <c r="S97" i="2"/>
  <c r="N98" i="2"/>
  <c r="R98" i="2"/>
  <c r="Q97" i="2"/>
  <c r="M98" i="2"/>
  <c r="J99" i="10"/>
  <c r="P99" i="2"/>
  <c r="O99" i="2"/>
  <c r="AG93" i="7" l="1"/>
  <c r="AI93" i="7" s="1"/>
  <c r="AF93" i="7"/>
  <c r="AG92" i="7"/>
  <c r="AF92" i="7"/>
  <c r="AG94" i="7"/>
  <c r="AF94" i="7"/>
  <c r="O102" i="1"/>
  <c r="BL109" i="5" a="1"/>
  <c r="BL109" i="5" s="1"/>
  <c r="BY92" i="8"/>
  <c r="CQ92" i="8" s="1"/>
  <c r="CR92" i="8" s="1"/>
  <c r="BS93" i="8"/>
  <c r="BZ93" i="8" s="1"/>
  <c r="BO93" i="8"/>
  <c r="BK93" i="8"/>
  <c r="BL93" i="8"/>
  <c r="BI93" i="8"/>
  <c r="BJ93" i="8"/>
  <c r="BG93" i="8"/>
  <c r="BH93" i="8"/>
  <c r="BF93" i="8"/>
  <c r="AP93" i="5"/>
  <c r="AC93" i="10"/>
  <c r="X93" i="10" s="1"/>
  <c r="AO93" i="5"/>
  <c r="AN93" i="5"/>
  <c r="AM93" i="5"/>
  <c r="AS97" i="5"/>
  <c r="E101" i="8"/>
  <c r="AK97" i="11"/>
  <c r="CY91" i="8"/>
  <c r="G91" i="1" s="1"/>
  <c r="M91" i="8" s="1"/>
  <c r="BV93" i="8"/>
  <c r="BW93" i="8"/>
  <c r="CM93" i="8" s="1"/>
  <c r="BT93" i="8"/>
  <c r="CJ93" i="8" s="1"/>
  <c r="CN93" i="8" s="1"/>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CD93" i="8"/>
  <c r="CT93" i="8" s="1"/>
  <c r="AC92" i="11"/>
  <c r="T92" i="8" s="1"/>
  <c r="AA92" i="11"/>
  <c r="AK92" i="1" s="1"/>
  <c r="Z92" i="11"/>
  <c r="AD92" i="11"/>
  <c r="AI92" i="1" s="1"/>
  <c r="AB92" i="11"/>
  <c r="P92" i="8" s="1"/>
  <c r="Y92" i="11"/>
  <c r="AH92" i="1" s="1"/>
  <c r="AV94" i="5"/>
  <c r="D94" i="9"/>
  <c r="BT94" i="5"/>
  <c r="N93" i="7"/>
  <c r="A94" i="10"/>
  <c r="AA94" i="10" s="1"/>
  <c r="AW94" i="5"/>
  <c r="A94" i="11"/>
  <c r="AA93" i="11" s="1"/>
  <c r="AK93" i="1" s="1"/>
  <c r="BE94" i="8"/>
  <c r="BN94" i="8" s="1"/>
  <c r="BR94" i="8"/>
  <c r="CC94" i="8" s="1"/>
  <c r="CS94" i="8" s="1"/>
  <c r="AB94" i="8"/>
  <c r="BM94" i="8" s="1"/>
  <c r="E94" i="1"/>
  <c r="AI94" i="5"/>
  <c r="W94" i="8"/>
  <c r="B94" i="9"/>
  <c r="W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B94" i="14"/>
  <c r="CK92" i="8"/>
  <c r="AR92" i="5"/>
  <c r="AQ92" i="5"/>
  <c r="B92" i="14"/>
  <c r="AI92" i="7"/>
  <c r="Q94" i="7"/>
  <c r="J95" i="2"/>
  <c r="C95" i="5"/>
  <c r="F95" i="5" s="1"/>
  <c r="CZ96" i="5"/>
  <c r="AB96" i="1"/>
  <c r="DI96" i="5"/>
  <c r="C96" i="5"/>
  <c r="AC95" i="1"/>
  <c r="DA95" i="5"/>
  <c r="DG95" i="5" s="1" a="1"/>
  <c r="DG95" i="5" s="1"/>
  <c r="AE105" i="9"/>
  <c r="AI105" i="9"/>
  <c r="AD1269" i="14"/>
  <c r="AD1270" i="14" s="1"/>
  <c r="N81" i="1"/>
  <c r="AI94" i="7"/>
  <c r="S98" i="2"/>
  <c r="N99" i="2"/>
  <c r="R99" i="2"/>
  <c r="Q98" i="2"/>
  <c r="J100" i="10"/>
  <c r="P100" i="2"/>
  <c r="O100" i="2"/>
  <c r="M99" i="2"/>
  <c r="O103" i="1" l="1"/>
  <c r="BL110" i="5" a="1"/>
  <c r="BL110" i="5" s="1"/>
  <c r="O92" i="8"/>
  <c r="BY93" i="8"/>
  <c r="CQ93" i="8" s="1"/>
  <c r="CR93" i="8" s="1"/>
  <c r="BS94" i="8"/>
  <c r="BZ94" i="8" s="1"/>
  <c r="BO94" i="8"/>
  <c r="BK94" i="8"/>
  <c r="BL94" i="8"/>
  <c r="BI94" i="8"/>
  <c r="BJ94" i="8"/>
  <c r="BG94" i="8"/>
  <c r="BH94" i="8"/>
  <c r="BF94" i="8"/>
  <c r="AP94" i="5"/>
  <c r="AC94" i="10"/>
  <c r="X94" i="10" s="1"/>
  <c r="AO94" i="5"/>
  <c r="AN94" i="5"/>
  <c r="AM94" i="5"/>
  <c r="AS98" i="5"/>
  <c r="E102" i="8"/>
  <c r="AM98" i="1"/>
  <c r="CU93" i="8"/>
  <c r="CK93" i="8"/>
  <c r="CL93" i="8" s="1"/>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J96" i="5" s="1"/>
  <c r="N94" i="7"/>
  <c r="BT94" i="8"/>
  <c r="CJ94" i="8" s="1"/>
  <c r="CN94" i="8" s="1"/>
  <c r="BW94" i="8"/>
  <c r="CM94" i="8" s="1"/>
  <c r="BV94" i="8"/>
  <c r="BX94" i="8"/>
  <c r="CO94" i="8" s="1"/>
  <c r="CP94" i="8" s="1"/>
  <c r="CD94" i="8"/>
  <c r="CT94" i="8" s="1"/>
  <c r="CU94" i="8" s="1"/>
  <c r="D95" i="9"/>
  <c r="CL92" i="8"/>
  <c r="CY92" i="8" s="1"/>
  <c r="G92" i="1" s="1"/>
  <c r="M92" i="8" s="1"/>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F106" i="9"/>
  <c r="AJ95" i="5"/>
  <c r="AB95" i="8"/>
  <c r="BM95" i="8" s="1"/>
  <c r="E95" i="1"/>
  <c r="BT95" i="5"/>
  <c r="AW95" i="5"/>
  <c r="A95" i="11"/>
  <c r="W95" i="8"/>
  <c r="AI95" i="5"/>
  <c r="AV95" i="5"/>
  <c r="B95" i="7"/>
  <c r="B95" i="9"/>
  <c r="W95" i="9" s="1"/>
  <c r="CZ97" i="5"/>
  <c r="J96" i="2"/>
  <c r="V96" i="2"/>
  <c r="C97" i="5"/>
  <c r="AC96" i="1"/>
  <c r="DA96" i="5"/>
  <c r="DG96" i="5" s="1" a="1"/>
  <c r="DG96" i="5" s="1"/>
  <c r="AB97" i="1"/>
  <c r="DI97" i="5"/>
  <c r="AE106" i="9"/>
  <c r="AI106" i="9"/>
  <c r="AK1269" i="14"/>
  <c r="AK1270" i="14" s="1"/>
  <c r="N82" i="1"/>
  <c r="AI1269" i="14"/>
  <c r="AI1270" i="14" s="1"/>
  <c r="S99" i="2"/>
  <c r="N100" i="2"/>
  <c r="R100" i="2"/>
  <c r="Q99" i="2"/>
  <c r="M100" i="2"/>
  <c r="P101" i="2"/>
  <c r="O101" i="2"/>
  <c r="J101" i="10"/>
  <c r="O104" i="1" l="1"/>
  <c r="BL111" i="5" a="1"/>
  <c r="BL111" i="5" s="1"/>
  <c r="AN95" i="5"/>
  <c r="O93" i="8"/>
  <c r="BY94" i="8"/>
  <c r="O94" i="8" s="1"/>
  <c r="BS95" i="8"/>
  <c r="BY95" i="8" s="1"/>
  <c r="BO95" i="8"/>
  <c r="BK95" i="8"/>
  <c r="BL95" i="8"/>
  <c r="BI95" i="8"/>
  <c r="BJ95" i="8"/>
  <c r="BG95" i="8"/>
  <c r="BH95" i="8"/>
  <c r="BF95" i="8"/>
  <c r="AP95" i="5"/>
  <c r="AC96" i="10"/>
  <c r="AC95" i="10"/>
  <c r="X95" i="10" s="1"/>
  <c r="AO95" i="5"/>
  <c r="AM95" i="5"/>
  <c r="AS99" i="5"/>
  <c r="E103" i="8"/>
  <c r="CY93" i="8"/>
  <c r="G93" i="1" s="1"/>
  <c r="M93" i="8" s="1"/>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CL94" i="8" s="1"/>
  <c r="B96" i="7"/>
  <c r="Q96" i="7" s="1"/>
  <c r="CF96" i="8"/>
  <c r="A96" i="10"/>
  <c r="AA96" i="10" s="1"/>
  <c r="A96" i="11"/>
  <c r="N96" i="11" s="1"/>
  <c r="AV96" i="5"/>
  <c r="AO96" i="5" s="1"/>
  <c r="AI96" i="5"/>
  <c r="AB96" i="8"/>
  <c r="BM96" i="8" s="1"/>
  <c r="BE96" i="8"/>
  <c r="BN96" i="8" s="1"/>
  <c r="BR96" i="8"/>
  <c r="BW96" i="8" s="1"/>
  <c r="CM96" i="8" s="1"/>
  <c r="B96" i="9"/>
  <c r="W96" i="9" s="1"/>
  <c r="W96" i="8"/>
  <c r="AW96" i="5"/>
  <c r="AP96" i="5" s="1"/>
  <c r="BD96" i="8"/>
  <c r="BP96" i="8" s="1"/>
  <c r="BT96" i="5"/>
  <c r="F97" i="5"/>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F107" i="9"/>
  <c r="BT95" i="8"/>
  <c r="BW95" i="8"/>
  <c r="CM95" i="8" s="1"/>
  <c r="BV95" i="8"/>
  <c r="CC95" i="8"/>
  <c r="CS95" i="8" s="1"/>
  <c r="BU95" i="8"/>
  <c r="CD95" i="8"/>
  <c r="CT95" i="8" s="1"/>
  <c r="AE95" i="7"/>
  <c r="Q95" i="7"/>
  <c r="AD94" i="11"/>
  <c r="AI94" i="1" s="1"/>
  <c r="AB94" i="11"/>
  <c r="P94" i="8" s="1"/>
  <c r="N95" i="11"/>
  <c r="AA94" i="11"/>
  <c r="AK94" i="1" s="1"/>
  <c r="AC94" i="11"/>
  <c r="T94" i="8" s="1"/>
  <c r="Z94" i="11"/>
  <c r="Y94" i="11"/>
  <c r="AH94" i="1" s="1"/>
  <c r="V97" i="2"/>
  <c r="J97" i="2"/>
  <c r="CZ98" i="5"/>
  <c r="AB98" i="1"/>
  <c r="DI98" i="5"/>
  <c r="C98" i="5"/>
  <c r="AC97" i="1"/>
  <c r="DA97" i="5"/>
  <c r="DG97" i="5" s="1" a="1"/>
  <c r="DG97" i="5" s="1"/>
  <c r="AE107" i="9"/>
  <c r="AI107" i="9"/>
  <c r="N83" i="1"/>
  <c r="S100" i="2"/>
  <c r="N101" i="2"/>
  <c r="R101" i="2"/>
  <c r="Q100" i="2"/>
  <c r="J102" i="10"/>
  <c r="M101" i="2"/>
  <c r="P102" i="2"/>
  <c r="O102" i="2"/>
  <c r="AG95" i="7" l="1"/>
  <c r="AF95" i="7"/>
  <c r="O105" i="1"/>
  <c r="BL112" i="5" a="1"/>
  <c r="BL112" i="5" s="1"/>
  <c r="CQ94" i="8"/>
  <c r="CR94" i="8" s="1"/>
  <c r="CY94" i="8" s="1"/>
  <c r="G94" i="1" s="1"/>
  <c r="M94" i="8" s="1"/>
  <c r="BZ95" i="8"/>
  <c r="CQ95" i="8" s="1"/>
  <c r="CR95" i="8" s="1"/>
  <c r="X96" i="10"/>
  <c r="BS96" i="8"/>
  <c r="BY96" i="8" s="1"/>
  <c r="BO96" i="8"/>
  <c r="BK96" i="8"/>
  <c r="BL96" i="8"/>
  <c r="BI96" i="8"/>
  <c r="BJ96" i="8"/>
  <c r="BG96" i="8"/>
  <c r="BH96" i="8"/>
  <c r="BF96" i="8"/>
  <c r="AM96" i="5"/>
  <c r="AQ96" i="5" s="1"/>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Y95" i="11"/>
  <c r="AH95" i="1" s="1"/>
  <c r="AC95" i="11"/>
  <c r="T95" i="8" s="1"/>
  <c r="AB95" i="11"/>
  <c r="P95" i="8" s="1"/>
  <c r="Z95" i="11"/>
  <c r="BV96" i="8"/>
  <c r="BT96" i="8"/>
  <c r="CJ96" i="8" s="1"/>
  <c r="CN96" i="8" s="1"/>
  <c r="BU96" i="8"/>
  <c r="BX96" i="8"/>
  <c r="CO96" i="8" s="1"/>
  <c r="CP96" i="8" s="1"/>
  <c r="D97" i="9"/>
  <c r="A97" i="10"/>
  <c r="AA97" i="10" s="1"/>
  <c r="AI97" i="5"/>
  <c r="AJ97" i="5"/>
  <c r="BT97" i="5"/>
  <c r="B97" i="9"/>
  <c r="W97" i="9" s="1"/>
  <c r="E97" i="1"/>
  <c r="A97" i="11"/>
  <c r="AB96" i="11" s="1"/>
  <c r="P96" i="8" s="1"/>
  <c r="W97" i="8"/>
  <c r="BE97" i="8"/>
  <c r="BN97" i="8" s="1"/>
  <c r="AB97" i="8"/>
  <c r="BM97" i="8" s="1"/>
  <c r="B97" i="7"/>
  <c r="AE97" i="7" s="1"/>
  <c r="AV97" i="5"/>
  <c r="AW97" i="5"/>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O95" i="8"/>
  <c r="B95" i="14"/>
  <c r="AI95" i="7"/>
  <c r="CZ99" i="5"/>
  <c r="J98" i="2"/>
  <c r="V98" i="2"/>
  <c r="V99" i="2"/>
  <c r="AC98" i="1"/>
  <c r="DA98" i="5"/>
  <c r="DG98" i="5" s="1" a="1"/>
  <c r="DG98" i="5" s="1"/>
  <c r="AB99" i="1"/>
  <c r="DI99" i="5"/>
  <c r="AE108" i="9"/>
  <c r="AI108" i="9"/>
  <c r="AC1269" i="14"/>
  <c r="AC1270" i="14" s="1"/>
  <c r="N84" i="1"/>
  <c r="Z1269" i="14"/>
  <c r="Z1270" i="14" s="1"/>
  <c r="S101" i="2"/>
  <c r="N102" i="2"/>
  <c r="R102" i="2"/>
  <c r="Q101" i="2"/>
  <c r="J103" i="10"/>
  <c r="P103" i="2"/>
  <c r="O103" i="2"/>
  <c r="M102" i="2"/>
  <c r="AG97" i="7" l="1"/>
  <c r="AI97" i="7" s="1"/>
  <c r="AF97" i="7"/>
  <c r="AG96" i="7"/>
  <c r="AI96" i="7" s="1"/>
  <c r="AF96" i="7"/>
  <c r="O106" i="1"/>
  <c r="BL113" i="5" a="1"/>
  <c r="BL113" i="5" s="1"/>
  <c r="BZ96" i="8"/>
  <c r="CQ96" i="8" s="1"/>
  <c r="CR96" i="8" s="1"/>
  <c r="BS97" i="8"/>
  <c r="BZ97" i="8" s="1"/>
  <c r="BO97" i="8"/>
  <c r="BK97" i="8"/>
  <c r="BL97" i="8"/>
  <c r="BI97" i="8"/>
  <c r="BJ97" i="8"/>
  <c r="BG97" i="8"/>
  <c r="BH97" i="8"/>
  <c r="BF97" i="8"/>
  <c r="AP97" i="5"/>
  <c r="AC97" i="10"/>
  <c r="X97" i="10" s="1"/>
  <c r="AO97" i="5"/>
  <c r="AM97" i="5"/>
  <c r="AN97" i="5"/>
  <c r="AS101" i="5"/>
  <c r="E105" i="8"/>
  <c r="CU96" i="8"/>
  <c r="O96" i="8"/>
  <c r="AH101" i="11"/>
  <c r="DE100" i="5"/>
  <c r="CC97" i="8"/>
  <c r="CS97" i="8" s="1"/>
  <c r="BT97" i="8"/>
  <c r="CJ97" i="8" s="1"/>
  <c r="CN97" i="8" s="1"/>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CL96" i="8" s="1"/>
  <c r="B97" i="14"/>
  <c r="Z96" i="11"/>
  <c r="N97" i="7"/>
  <c r="AD96" i="11"/>
  <c r="AI96" i="1" s="1"/>
  <c r="N97" i="11"/>
  <c r="Q97" i="7"/>
  <c r="AA96" i="11"/>
  <c r="AK96" i="1" s="1"/>
  <c r="CD97" i="8"/>
  <c r="CT97" i="8" s="1"/>
  <c r="AC96" i="11"/>
  <c r="T96" i="8" s="1"/>
  <c r="Y96" i="11"/>
  <c r="AH96" i="1" s="1"/>
  <c r="AB98" i="8"/>
  <c r="BM98" i="8" s="1"/>
  <c r="D98" i="9"/>
  <c r="B98" i="9"/>
  <c r="W98" i="9" s="1"/>
  <c r="BR98" i="8"/>
  <c r="BW98" i="8" s="1"/>
  <c r="CM98" i="8" s="1"/>
  <c r="AJ98" i="5"/>
  <c r="AP98" i="5" s="1"/>
  <c r="B100" i="5"/>
  <c r="E98" i="1"/>
  <c r="BE98" i="8"/>
  <c r="BN98" i="8" s="1"/>
  <c r="W98" i="8"/>
  <c r="BT98" i="5"/>
  <c r="A98" i="11"/>
  <c r="Y97" i="11" s="1"/>
  <c r="AH97" i="1" s="1"/>
  <c r="BD98" i="8"/>
  <c r="BP98" i="8" s="1"/>
  <c r="AI98" i="5"/>
  <c r="DA98" i="8"/>
  <c r="DB98" i="8" s="1"/>
  <c r="CF98" i="8"/>
  <c r="B98" i="7"/>
  <c r="Q98" i="7" s="1"/>
  <c r="AV98" i="5"/>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B100" i="1"/>
  <c r="DI100" i="5"/>
  <c r="C100" i="5"/>
  <c r="AC99" i="1"/>
  <c r="DA99" i="5"/>
  <c r="DG99" i="5" s="1" a="1"/>
  <c r="DG99" i="5" s="1"/>
  <c r="AE109" i="9"/>
  <c r="AI109" i="9"/>
  <c r="N85" i="1"/>
  <c r="S102" i="2"/>
  <c r="N103" i="2"/>
  <c r="R103" i="2"/>
  <c r="Q102" i="2"/>
  <c r="J104" i="10"/>
  <c r="O104" i="2"/>
  <c r="M103" i="2"/>
  <c r="P104" i="2"/>
  <c r="O107" i="1" l="1"/>
  <c r="BL114" i="5" a="1"/>
  <c r="BL114" i="5" s="1"/>
  <c r="BY97" i="8"/>
  <c r="CQ97" i="8" s="1"/>
  <c r="CR97" i="8" s="1"/>
  <c r="BS98" i="8"/>
  <c r="BZ98" i="8" s="1"/>
  <c r="BO98" i="8"/>
  <c r="BK98" i="8"/>
  <c r="BL98" i="8"/>
  <c r="BI98" i="8"/>
  <c r="BJ98" i="8"/>
  <c r="BG98" i="8"/>
  <c r="BH98" i="8"/>
  <c r="BF98" i="8"/>
  <c r="AO98" i="5"/>
  <c r="AM98" i="5"/>
  <c r="AN98" i="5"/>
  <c r="AC98" i="10"/>
  <c r="X98" i="10" s="1"/>
  <c r="AS102" i="5"/>
  <c r="E106" i="8"/>
  <c r="AH102" i="11"/>
  <c r="CY96" i="8"/>
  <c r="G96" i="1" s="1"/>
  <c r="M96" i="8" s="1"/>
  <c r="CK97" i="8"/>
  <c r="CL97" i="8" s="1"/>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CJ98" i="8" s="1"/>
  <c r="CN98" i="8" s="1"/>
  <c r="BV98" i="8"/>
  <c r="AE98" i="7"/>
  <c r="F100" i="5"/>
  <c r="DA100" i="8" s="1"/>
  <c r="DB100" i="8"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F110" i="9"/>
  <c r="CZ101" i="5"/>
  <c r="AW99" i="5"/>
  <c r="AV99" i="5"/>
  <c r="AB99" i="8"/>
  <c r="BM99" i="8" s="1"/>
  <c r="BT99" i="5"/>
  <c r="AJ99" i="5"/>
  <c r="A99" i="10"/>
  <c r="AA99" i="10" s="1"/>
  <c r="B99" i="7"/>
  <c r="W99" i="8"/>
  <c r="E99" i="1"/>
  <c r="A99" i="11"/>
  <c r="AI99" i="5"/>
  <c r="B99" i="9"/>
  <c r="W99" i="9" s="1"/>
  <c r="J100" i="2"/>
  <c r="V100" i="2"/>
  <c r="V101" i="2"/>
  <c r="AC100" i="1"/>
  <c r="DA100" i="5"/>
  <c r="DG100" i="5" s="1" a="1"/>
  <c r="DG100" i="5" s="1"/>
  <c r="AB101" i="1"/>
  <c r="DI101" i="5"/>
  <c r="AE110" i="9"/>
  <c r="AI110" i="9"/>
  <c r="N86" i="1"/>
  <c r="S103" i="2"/>
  <c r="N104" i="2"/>
  <c r="R104" i="2"/>
  <c r="Q103" i="2"/>
  <c r="O105" i="2"/>
  <c r="J105" i="10"/>
  <c r="M104" i="2"/>
  <c r="P105" i="2"/>
  <c r="AG98" i="7" l="1"/>
  <c r="AI98" i="7" s="1"/>
  <c r="AF98" i="7"/>
  <c r="O108" i="1"/>
  <c r="BL115" i="5" a="1"/>
  <c r="BL115" i="5" s="1"/>
  <c r="BY98" i="8"/>
  <c r="CQ98" i="8" s="1"/>
  <c r="CR98" i="8" s="1"/>
  <c r="O97" i="8"/>
  <c r="BO99" i="8"/>
  <c r="BP99" i="8"/>
  <c r="BK99" i="8"/>
  <c r="BL99" i="8"/>
  <c r="BI99" i="8"/>
  <c r="BJ99" i="8"/>
  <c r="BG99" i="8"/>
  <c r="BH99" i="8"/>
  <c r="BF99" i="8"/>
  <c r="AP99" i="5"/>
  <c r="AC99" i="10"/>
  <c r="X99" i="10" s="1"/>
  <c r="AO99" i="5"/>
  <c r="AN99" i="5"/>
  <c r="AM99" i="5"/>
  <c r="AR98" i="5"/>
  <c r="AS103" i="5"/>
  <c r="E107" i="8"/>
  <c r="CY97" i="8"/>
  <c r="G97" i="1" s="1"/>
  <c r="M97" i="8" s="1"/>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W100" i="9" s="1"/>
  <c r="AW100" i="5"/>
  <c r="BE100" i="8"/>
  <c r="BN100" i="8" s="1"/>
  <c r="AJ100" i="5"/>
  <c r="A100" i="11"/>
  <c r="N100" i="11" s="1"/>
  <c r="BD100" i="8"/>
  <c r="BP100" i="8" s="1"/>
  <c r="W100" i="8"/>
  <c r="BR100" i="8"/>
  <c r="CC100" i="8" s="1"/>
  <c r="CS100" i="8" s="1"/>
  <c r="AV100" i="5"/>
  <c r="A100" i="10"/>
  <c r="AA100" i="10" s="1"/>
  <c r="BT100" i="5"/>
  <c r="CF100" i="8"/>
  <c r="E100" i="1"/>
  <c r="AB100" i="8"/>
  <c r="BM100" i="8" s="1"/>
  <c r="B100" i="7"/>
  <c r="AE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F111" i="9"/>
  <c r="CD100" i="8"/>
  <c r="CT100" i="8" s="1"/>
  <c r="C101" i="5"/>
  <c r="F101" i="5" s="1"/>
  <c r="BX99" i="8"/>
  <c r="CO99" i="8" s="1"/>
  <c r="CP99" i="8" s="1"/>
  <c r="BV99" i="8"/>
  <c r="BW99" i="8"/>
  <c r="CM99" i="8" s="1"/>
  <c r="CC99" i="8"/>
  <c r="CS99" i="8" s="1"/>
  <c r="BT99" i="8"/>
  <c r="BU99" i="8"/>
  <c r="CD99" i="8"/>
  <c r="CT99" i="8" s="1"/>
  <c r="J101" i="2"/>
  <c r="AE99" i="7"/>
  <c r="Q99" i="7"/>
  <c r="CZ102" i="5"/>
  <c r="AB98" i="11"/>
  <c r="P98" i="8" s="1"/>
  <c r="AA98" i="11"/>
  <c r="AK98" i="1" s="1"/>
  <c r="AC98" i="11"/>
  <c r="T98" i="8" s="1"/>
  <c r="Y98" i="11"/>
  <c r="AH98" i="1" s="1"/>
  <c r="AD98" i="11"/>
  <c r="AI98" i="1" s="1"/>
  <c r="Z98" i="11"/>
  <c r="N99" i="11"/>
  <c r="AB102" i="1"/>
  <c r="DI102" i="5"/>
  <c r="C102" i="5"/>
  <c r="AC101" i="1"/>
  <c r="DA101" i="5"/>
  <c r="DG101" i="5" s="1" a="1"/>
  <c r="DG101" i="5" s="1"/>
  <c r="AE111" i="9"/>
  <c r="AI111" i="9"/>
  <c r="N87" i="1"/>
  <c r="S104" i="2"/>
  <c r="N105" i="2"/>
  <c r="R105" i="2"/>
  <c r="Q104" i="2"/>
  <c r="M105" i="2"/>
  <c r="J106" i="10"/>
  <c r="P106" i="2"/>
  <c r="O106" i="2"/>
  <c r="AG100" i="7" l="1"/>
  <c r="AI100" i="7" s="1"/>
  <c r="AF100" i="7"/>
  <c r="AG99" i="7"/>
  <c r="AF99" i="7"/>
  <c r="O109" i="1"/>
  <c r="O98" i="8"/>
  <c r="BL116" i="5" a="1"/>
  <c r="BL116" i="5" s="1"/>
  <c r="AP100" i="5"/>
  <c r="BS100" i="8"/>
  <c r="BZ100" i="8" s="1"/>
  <c r="BO100" i="8"/>
  <c r="BK100" i="8"/>
  <c r="BL100" i="8"/>
  <c r="BI100" i="8"/>
  <c r="BJ100" i="8"/>
  <c r="BG100" i="8"/>
  <c r="BH100" i="8"/>
  <c r="BF100" i="8"/>
  <c r="AC100" i="10"/>
  <c r="X100" i="10" s="1"/>
  <c r="AO100" i="5"/>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CJ100" i="8" s="1"/>
  <c r="CN100" i="8" s="1"/>
  <c r="CU100" i="8"/>
  <c r="CY98" i="8"/>
  <c r="G98" i="1" s="1"/>
  <c r="M98" i="8" s="1"/>
  <c r="B100" i="14"/>
  <c r="F102" i="5"/>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Q99" i="8" s="1"/>
  <c r="CR99" i="8" s="1"/>
  <c r="CJ99" i="8"/>
  <c r="CN99" i="8" s="1"/>
  <c r="DA101" i="8"/>
  <c r="DB101" i="8" s="1"/>
  <c r="CF101" i="8"/>
  <c r="CB106" i="8"/>
  <c r="BR101" i="8"/>
  <c r="BE101" i="8"/>
  <c r="BN101" i="8" s="1"/>
  <c r="BD101" i="8"/>
  <c r="BP101" i="8" s="1"/>
  <c r="AF112" i="9"/>
  <c r="B101" i="7"/>
  <c r="AI101" i="5"/>
  <c r="A101" i="10"/>
  <c r="AA101" i="10" s="1"/>
  <c r="E101" i="1"/>
  <c r="BT101" i="5"/>
  <c r="W101" i="8"/>
  <c r="AB101" i="8"/>
  <c r="BM101" i="8" s="1"/>
  <c r="AJ101" i="5"/>
  <c r="AV101" i="5"/>
  <c r="A101" i="11"/>
  <c r="AW101" i="5"/>
  <c r="CK99" i="8"/>
  <c r="B101" i="9"/>
  <c r="W101" i="9" s="1"/>
  <c r="CZ103" i="5"/>
  <c r="AR99" i="5"/>
  <c r="J102" i="2"/>
  <c r="V102" i="2"/>
  <c r="CU99" i="8"/>
  <c r="B99" i="14"/>
  <c r="AI99" i="7"/>
  <c r="AQ99" i="5"/>
  <c r="V103" i="2"/>
  <c r="AC102" i="1"/>
  <c r="DA102" i="5"/>
  <c r="DG102" i="5" s="1" a="1"/>
  <c r="DG102" i="5" s="1"/>
  <c r="AB103" i="1"/>
  <c r="DI103" i="5"/>
  <c r="AE112" i="9"/>
  <c r="AI112" i="9"/>
  <c r="N88" i="1"/>
  <c r="S105" i="2"/>
  <c r="N106" i="2"/>
  <c r="R106" i="2"/>
  <c r="Q105" i="2"/>
  <c r="P107" i="2"/>
  <c r="M106" i="2"/>
  <c r="J107" i="10"/>
  <c r="O107" i="2"/>
  <c r="O110" i="1" l="1"/>
  <c r="BL117" i="5" a="1"/>
  <c r="BL117" i="5" s="1"/>
  <c r="BY100" i="8"/>
  <c r="CQ100" i="8" s="1"/>
  <c r="CR100" i="8" s="1"/>
  <c r="BO101" i="8"/>
  <c r="BK101" i="8"/>
  <c r="BL101" i="8"/>
  <c r="BI101" i="8"/>
  <c r="BJ101" i="8"/>
  <c r="BG101" i="8"/>
  <c r="BH101" i="8"/>
  <c r="BF101" i="8"/>
  <c r="AP101" i="5"/>
  <c r="AC101" i="10"/>
  <c r="X101" i="10" s="1"/>
  <c r="AO101" i="5"/>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CL100" i="8" s="1"/>
  <c r="AR100" i="5"/>
  <c r="BD102" i="8"/>
  <c r="BP102" i="8" s="1"/>
  <c r="A102" i="11"/>
  <c r="Y101" i="11" s="1"/>
  <c r="AH101" i="1" s="1"/>
  <c r="CL99" i="8"/>
  <c r="CY99" i="8" s="1"/>
  <c r="G99" i="1" s="1"/>
  <c r="M99" i="8" s="1"/>
  <c r="BT102" i="5"/>
  <c r="AI102" i="5"/>
  <c r="B102" i="7"/>
  <c r="AE102" i="7" s="1"/>
  <c r="A102" i="10"/>
  <c r="AA102" i="10" s="1"/>
  <c r="DA102" i="8"/>
  <c r="DB102" i="8" s="1"/>
  <c r="AB102" i="8"/>
  <c r="BM102" i="8" s="1"/>
  <c r="AV102" i="5"/>
  <c r="B102" i="9"/>
  <c r="W102" i="9" s="1"/>
  <c r="AW102" i="5"/>
  <c r="CF102" i="8"/>
  <c r="W102" i="8"/>
  <c r="AJ102" i="5"/>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O99" i="8"/>
  <c r="D102" i="9"/>
  <c r="CD101" i="8"/>
  <c r="CT101" i="8" s="1"/>
  <c r="CB107" i="8"/>
  <c r="BS101" i="8"/>
  <c r="BY101" i="8" s="1"/>
  <c r="N101" i="7"/>
  <c r="AF113" i="9"/>
  <c r="AE101" i="7"/>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CZ104" i="5"/>
  <c r="J103" i="2"/>
  <c r="AB104" i="1"/>
  <c r="DI104" i="5"/>
  <c r="C104" i="5"/>
  <c r="AC103" i="1"/>
  <c r="DA103" i="5"/>
  <c r="DG103" i="5" s="1" a="1"/>
  <c r="DG103" i="5" s="1"/>
  <c r="AE113" i="9"/>
  <c r="AI113" i="9"/>
  <c r="N89" i="1"/>
  <c r="S106" i="2"/>
  <c r="N107" i="2"/>
  <c r="R107" i="2"/>
  <c r="Q106" i="2"/>
  <c r="M107" i="2"/>
  <c r="O108" i="2"/>
  <c r="J108" i="10"/>
  <c r="P108" i="2"/>
  <c r="AG101" i="7" l="1"/>
  <c r="AF101" i="7"/>
  <c r="AG102" i="7"/>
  <c r="AI102" i="7" s="1"/>
  <c r="AF102" i="7"/>
  <c r="O111" i="1"/>
  <c r="BL118" i="5" a="1"/>
  <c r="BL118" i="5" s="1"/>
  <c r="AP102" i="5"/>
  <c r="O100" i="8"/>
  <c r="CY100" i="8"/>
  <c r="G100" i="1" s="1"/>
  <c r="M100" i="8" s="1"/>
  <c r="BS102" i="8"/>
  <c r="BZ102" i="8" s="1"/>
  <c r="BO102" i="8"/>
  <c r="BK102" i="8"/>
  <c r="BL102" i="8"/>
  <c r="BI102" i="8"/>
  <c r="BJ102" i="8"/>
  <c r="BG102" i="8"/>
  <c r="BH102" i="8"/>
  <c r="BF102" i="8"/>
  <c r="AC102" i="10"/>
  <c r="X102" i="10" s="1"/>
  <c r="AO102" i="5"/>
  <c r="AN102" i="5"/>
  <c r="AM102" i="5"/>
  <c r="AS106" i="5"/>
  <c r="CC102" i="8"/>
  <c r="CS102" i="8" s="1"/>
  <c r="BX102" i="8"/>
  <c r="CO102" i="8" s="1"/>
  <c r="CP102" i="8" s="1"/>
  <c r="E110" i="8"/>
  <c r="BU102" i="8"/>
  <c r="CK102" i="8" s="1"/>
  <c r="BW102" i="8"/>
  <c r="CM102" i="8" s="1"/>
  <c r="BT102" i="8"/>
  <c r="CJ102" i="8" s="1"/>
  <c r="CN102" i="8" s="1"/>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DA104" i="8" s="1"/>
  <c r="DB104" i="8"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O101" i="8"/>
  <c r="BR103" i="8"/>
  <c r="BE103" i="8"/>
  <c r="BN103" i="8" s="1"/>
  <c r="BZ101" i="8"/>
  <c r="CQ101" i="8" s="1"/>
  <c r="CR101" i="8" s="1"/>
  <c r="AJ103" i="5"/>
  <c r="BD103" i="8"/>
  <c r="BP103" i="8" s="1"/>
  <c r="AF114" i="9"/>
  <c r="AR101" i="5"/>
  <c r="B101" i="14"/>
  <c r="AI101" i="7"/>
  <c r="CK101" i="8"/>
  <c r="AQ101" i="5"/>
  <c r="AW103" i="5"/>
  <c r="W103" i="8"/>
  <c r="E103" i="1"/>
  <c r="B103" i="9"/>
  <c r="W103" i="9" s="1"/>
  <c r="AV103" i="5"/>
  <c r="AI103" i="5"/>
  <c r="A103" i="11"/>
  <c r="AB103" i="8"/>
  <c r="BM103" i="8" s="1"/>
  <c r="BT103" i="5"/>
  <c r="A103" i="10"/>
  <c r="AA103" i="10" s="1"/>
  <c r="B103" i="7"/>
  <c r="CZ105" i="5"/>
  <c r="J104" i="2"/>
  <c r="V104" i="2"/>
  <c r="C105" i="5"/>
  <c r="AC104" i="1"/>
  <c r="DA104" i="5"/>
  <c r="DG104" i="5" s="1" a="1"/>
  <c r="DG104" i="5" s="1"/>
  <c r="AB105" i="1"/>
  <c r="DI105" i="5"/>
  <c r="AE114" i="9"/>
  <c r="AI114" i="9"/>
  <c r="N90" i="1"/>
  <c r="S107" i="2"/>
  <c r="N108" i="2"/>
  <c r="R108" i="2"/>
  <c r="Q107" i="2"/>
  <c r="M108" i="2"/>
  <c r="J109" i="10"/>
  <c r="O109" i="2"/>
  <c r="P109" i="2"/>
  <c r="O112" i="1" l="1"/>
  <c r="BL119" i="5" a="1"/>
  <c r="BL119" i="5" s="1"/>
  <c r="BY102" i="8"/>
  <c r="CQ102" i="8" s="1"/>
  <c r="CR102" i="8" s="1"/>
  <c r="BS103" i="8"/>
  <c r="BY103" i="8" s="1"/>
  <c r="BO103" i="8"/>
  <c r="BK103" i="8"/>
  <c r="BL103" i="8"/>
  <c r="BI103" i="8"/>
  <c r="BJ103" i="8"/>
  <c r="BG103" i="8"/>
  <c r="BH103" i="8"/>
  <c r="BF103" i="8"/>
  <c r="AP103" i="5"/>
  <c r="AC103" i="10"/>
  <c r="X103" i="10" s="1"/>
  <c r="AO103" i="5"/>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AV104" i="5"/>
  <c r="B104" i="7"/>
  <c r="Q104" i="7" s="1"/>
  <c r="AW104" i="5"/>
  <c r="AJ104" i="5"/>
  <c r="BT104" i="5"/>
  <c r="AI104" i="5"/>
  <c r="CF104" i="8"/>
  <c r="W104" i="8"/>
  <c r="A104" i="10"/>
  <c r="AA104" i="10" s="1"/>
  <c r="BE104" i="8"/>
  <c r="BN104" i="8" s="1"/>
  <c r="B104" i="9"/>
  <c r="W104" i="9" s="1"/>
  <c r="AB104" i="8"/>
  <c r="BM104" i="8" s="1"/>
  <c r="BD104" i="8"/>
  <c r="BP104" i="8" s="1"/>
  <c r="BR104" i="8"/>
  <c r="BW104" i="8" s="1"/>
  <c r="CM104" i="8" s="1"/>
  <c r="E104" i="1"/>
  <c r="A104" i="11"/>
  <c r="N104" i="11" s="1"/>
  <c r="AQ102" i="5"/>
  <c r="F105" i="5"/>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CL102" i="8"/>
  <c r="D104" i="9"/>
  <c r="CB109" i="8"/>
  <c r="N103" i="7"/>
  <c r="AF115" i="9"/>
  <c r="CD104" i="8"/>
  <c r="CT104" i="8" s="1"/>
  <c r="AE103" i="7"/>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V105" i="2"/>
  <c r="AB106" i="1"/>
  <c r="DI106" i="5"/>
  <c r="C106" i="5"/>
  <c r="AC105" i="1"/>
  <c r="DA105" i="5"/>
  <c r="DG105" i="5" s="1" a="1"/>
  <c r="DG105" i="5" s="1"/>
  <c r="AE115" i="9"/>
  <c r="AI115" i="9"/>
  <c r="N91" i="1"/>
  <c r="S108" i="2"/>
  <c r="N109" i="2"/>
  <c r="R109" i="2"/>
  <c r="Q108" i="2"/>
  <c r="M109" i="2"/>
  <c r="P110" i="2"/>
  <c r="O110" i="2"/>
  <c r="J110" i="10"/>
  <c r="AG103" i="7" l="1"/>
  <c r="AF103" i="7"/>
  <c r="O113" i="1"/>
  <c r="BL120" i="5" a="1"/>
  <c r="BL120" i="5" s="1"/>
  <c r="O102" i="8"/>
  <c r="BZ103" i="8"/>
  <c r="CQ103" i="8" s="1"/>
  <c r="CR103" i="8" s="1"/>
  <c r="AP104" i="5"/>
  <c r="BS104" i="8"/>
  <c r="BY104" i="8" s="1"/>
  <c r="BO104" i="8"/>
  <c r="BK104" i="8"/>
  <c r="BL104" i="8"/>
  <c r="BI104" i="8"/>
  <c r="BJ104" i="8"/>
  <c r="BG104" i="8"/>
  <c r="BH104" i="8"/>
  <c r="BF104" i="8"/>
  <c r="AC104" i="10"/>
  <c r="X104" i="10" s="1"/>
  <c r="AO104" i="5"/>
  <c r="AM104" i="5"/>
  <c r="AN104" i="5"/>
  <c r="CY102" i="8"/>
  <c r="G102" i="1" s="1"/>
  <c r="M102" i="8" s="1"/>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106" i="10" s="1"/>
  <c r="AA106" i="10" s="1"/>
  <c r="BT105" i="5"/>
  <c r="AE104" i="7"/>
  <c r="CC104" i="8"/>
  <c r="CS104" i="8" s="1"/>
  <c r="CU104" i="8" s="1"/>
  <c r="D105" i="9"/>
  <c r="N104" i="7"/>
  <c r="AB105" i="8"/>
  <c r="BM105" i="8" s="1"/>
  <c r="W105" i="8"/>
  <c r="AI105" i="5"/>
  <c r="B105" i="9"/>
  <c r="W105" i="9" s="1"/>
  <c r="AV105" i="5"/>
  <c r="B105" i="7"/>
  <c r="AE105" i="7" s="1"/>
  <c r="BT104" i="8"/>
  <c r="CJ104" i="8" s="1"/>
  <c r="CN104" i="8" s="1"/>
  <c r="BU104" i="8"/>
  <c r="BX104" i="8"/>
  <c r="CO104" i="8" s="1"/>
  <c r="CP104" i="8" s="1"/>
  <c r="BV104" i="8"/>
  <c r="AD103" i="11"/>
  <c r="AI103" i="1" s="1"/>
  <c r="AC103" i="11"/>
  <c r="T103" i="8" s="1"/>
  <c r="Y103" i="11"/>
  <c r="AH103" i="1" s="1"/>
  <c r="AA103" i="11"/>
  <c r="AK103" i="1" s="1"/>
  <c r="AB103" i="11"/>
  <c r="P103" i="8" s="1"/>
  <c r="Z103" i="11"/>
  <c r="AW105" i="5"/>
  <c r="E105" i="1"/>
  <c r="A105" i="11"/>
  <c r="AD104" i="11" s="1"/>
  <c r="AI104" i="1" s="1"/>
  <c r="A105" i="10"/>
  <c r="AA105" i="10" s="1"/>
  <c r="AJ105" i="5"/>
  <c r="DA105" i="8"/>
  <c r="DB105" i="8" s="1"/>
  <c r="BE105" i="8"/>
  <c r="BN105" i="8" s="1"/>
  <c r="BR105" i="8"/>
  <c r="BT105" i="8" s="1"/>
  <c r="CJ105" i="8" s="1"/>
  <c r="CN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O103" i="8"/>
  <c r="CK103" i="8"/>
  <c r="B103" i="14"/>
  <c r="AI103" i="7"/>
  <c r="V106" i="2"/>
  <c r="CZ107" i="5"/>
  <c r="C107" i="5"/>
  <c r="AC106" i="1"/>
  <c r="DA106" i="5"/>
  <c r="DG106" i="5" s="1" a="1"/>
  <c r="DG106" i="5" s="1"/>
  <c r="AB107" i="1"/>
  <c r="DI107" i="5"/>
  <c r="AE116" i="9"/>
  <c r="AI116" i="9"/>
  <c r="N92" i="1"/>
  <c r="S109" i="2"/>
  <c r="N110" i="2"/>
  <c r="R110" i="2"/>
  <c r="Q109" i="2"/>
  <c r="O111" i="2"/>
  <c r="P111" i="2"/>
  <c r="J111" i="10"/>
  <c r="M110" i="2"/>
  <c r="AG105" i="7" l="1"/>
  <c r="AI105" i="7" s="1"/>
  <c r="AF105" i="7"/>
  <c r="AG104" i="7"/>
  <c r="AI104" i="7" s="1"/>
  <c r="AF104" i="7"/>
  <c r="O114" i="1"/>
  <c r="BL121" i="5" a="1"/>
  <c r="BL121" i="5" s="1"/>
  <c r="AP105" i="5"/>
  <c r="BZ104" i="8"/>
  <c r="CQ104" i="8" s="1"/>
  <c r="CR104" i="8" s="1"/>
  <c r="BS105" i="8"/>
  <c r="BY105" i="8" s="1"/>
  <c r="BO105" i="8"/>
  <c r="BK105" i="8"/>
  <c r="BL105" i="8"/>
  <c r="BI105" i="8"/>
  <c r="BJ105" i="8"/>
  <c r="BG105" i="8"/>
  <c r="BH105" i="8"/>
  <c r="BF105" i="8"/>
  <c r="AC105" i="10"/>
  <c r="X105" i="10" s="1"/>
  <c r="AO105" i="5"/>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AW106" i="5"/>
  <c r="B106" i="7"/>
  <c r="AE106" i="7" s="1"/>
  <c r="E106" i="1"/>
  <c r="AB106" i="8"/>
  <c r="BM106" i="8" s="1"/>
  <c r="BE106" i="8"/>
  <c r="BN106" i="8" s="1"/>
  <c r="CF106" i="8"/>
  <c r="AQ104" i="5"/>
  <c r="AA104" i="11"/>
  <c r="AK104" i="1" s="1"/>
  <c r="W106" i="8"/>
  <c r="BD106" i="8"/>
  <c r="BP106" i="8" s="1"/>
  <c r="DA106" i="8"/>
  <c r="DB106" i="8" s="1"/>
  <c r="B106" i="9"/>
  <c r="W106" i="9" s="1"/>
  <c r="BT106" i="5"/>
  <c r="AJ106" i="5"/>
  <c r="A106" i="11"/>
  <c r="AA105" i="11" s="1"/>
  <c r="AK105" i="1" s="1"/>
  <c r="AV106" i="5"/>
  <c r="AI106" i="5"/>
  <c r="BR106" i="8"/>
  <c r="BX106" i="8" s="1"/>
  <c r="CO106" i="8" s="1"/>
  <c r="CP106" i="8" s="1"/>
  <c r="B104" i="14"/>
  <c r="Y104" i="11"/>
  <c r="AH104" i="1" s="1"/>
  <c r="CD105" i="8"/>
  <c r="CT105" i="8" s="1"/>
  <c r="Q105" i="7"/>
  <c r="B105" i="14"/>
  <c r="CK104" i="8"/>
  <c r="CL104" i="8" s="1"/>
  <c r="N105" i="7"/>
  <c r="O104" i="8"/>
  <c r="BV105" i="8"/>
  <c r="N105" i="11"/>
  <c r="AC104" i="11"/>
  <c r="T104" i="8" s="1"/>
  <c r="BU105" i="8"/>
  <c r="CC105" i="8"/>
  <c r="CS105" i="8" s="1"/>
  <c r="BW105" i="8"/>
  <c r="CM105" i="8" s="1"/>
  <c r="BX105" i="8"/>
  <c r="CO105" i="8" s="1"/>
  <c r="CP105" i="8" s="1"/>
  <c r="F107" i="5"/>
  <c r="BE107" i="8" s="1"/>
  <c r="BN107" i="8"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V107" i="2"/>
  <c r="CZ108" i="5"/>
  <c r="AB108" i="1"/>
  <c r="DI108" i="5"/>
  <c r="C108" i="5"/>
  <c r="AC107" i="1"/>
  <c r="DA107" i="5"/>
  <c r="DG107" i="5" s="1" a="1"/>
  <c r="DG107" i="5" s="1"/>
  <c r="AE117" i="9"/>
  <c r="AI117" i="9"/>
  <c r="N93" i="1"/>
  <c r="S110" i="2"/>
  <c r="N111" i="2"/>
  <c r="R111" i="2"/>
  <c r="Q110" i="2"/>
  <c r="J112" i="10"/>
  <c r="P112" i="2"/>
  <c r="M111" i="2"/>
  <c r="O112" i="2"/>
  <c r="AG106" i="7" l="1"/>
  <c r="AI106" i="7" s="1"/>
  <c r="AF106" i="7"/>
  <c r="O115" i="1"/>
  <c r="BL122" i="5" a="1"/>
  <c r="BL122" i="5" s="1"/>
  <c r="CY104" i="8"/>
  <c r="G104" i="1" s="1"/>
  <c r="M104" i="8" s="1"/>
  <c r="BZ105" i="8"/>
  <c r="CQ105" i="8" s="1"/>
  <c r="CR105" i="8" s="1"/>
  <c r="BS106" i="8"/>
  <c r="BZ106" i="8" s="1"/>
  <c r="BO106" i="8"/>
  <c r="BK106" i="8"/>
  <c r="BL106" i="8"/>
  <c r="BI106" i="8"/>
  <c r="BJ106" i="8"/>
  <c r="BG106" i="8"/>
  <c r="BH106" i="8"/>
  <c r="BF106" i="8"/>
  <c r="AP106" i="5"/>
  <c r="AC106" i="10"/>
  <c r="X106" i="10" s="1"/>
  <c r="AO106" i="5"/>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CJ106" i="8" s="1"/>
  <c r="CN106" i="8" s="1"/>
  <c r="AC105" i="11"/>
  <c r="T105" i="8" s="1"/>
  <c r="D107" i="9"/>
  <c r="CD106" i="8"/>
  <c r="CT106" i="8" s="1"/>
  <c r="N106" i="11"/>
  <c r="AB105" i="11"/>
  <c r="P105" i="8" s="1"/>
  <c r="Y105" i="11"/>
  <c r="AH105" i="1" s="1"/>
  <c r="Z105" i="11"/>
  <c r="AD105" i="11"/>
  <c r="AI105" i="1" s="1"/>
  <c r="CU105" i="8"/>
  <c r="AR105" i="5"/>
  <c r="B107" i="9"/>
  <c r="W107" i="9" s="1"/>
  <c r="CK105" i="8"/>
  <c r="CL105" i="8" s="1"/>
  <c r="AI107" i="5"/>
  <c r="O105" i="8"/>
  <c r="BT107" i="5"/>
  <c r="W107" i="8"/>
  <c r="B107" i="7"/>
  <c r="AE107" i="7" s="1"/>
  <c r="BD107" i="8"/>
  <c r="BP107" i="8" s="1"/>
  <c r="AJ107" i="5"/>
  <c r="A107" i="10"/>
  <c r="AA107" i="10" s="1"/>
  <c r="AV107" i="5"/>
  <c r="DA107" i="8"/>
  <c r="DB107" i="8" s="1"/>
  <c r="AB107" i="8"/>
  <c r="BM107" i="8" s="1"/>
  <c r="AW107" i="5"/>
  <c r="CF107" i="8"/>
  <c r="A107" i="11"/>
  <c r="AD106" i="11" s="1"/>
  <c r="AI106" i="1" s="1"/>
  <c r="E107" i="1"/>
  <c r="F108" i="5"/>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V108" i="2"/>
  <c r="CZ109" i="5"/>
  <c r="J108" i="2"/>
  <c r="V109" i="2"/>
  <c r="AC108" i="1"/>
  <c r="DA108" i="5"/>
  <c r="DG108" i="5" s="1" a="1"/>
  <c r="DG108" i="5" s="1"/>
  <c r="AB109" i="1"/>
  <c r="DI109" i="5"/>
  <c r="AE118" i="9"/>
  <c r="AI118" i="9"/>
  <c r="N94" i="1"/>
  <c r="S111" i="2"/>
  <c r="N112" i="2"/>
  <c r="R112" i="2"/>
  <c r="Q111" i="2"/>
  <c r="M112" i="2"/>
  <c r="O113" i="2"/>
  <c r="P113" i="2"/>
  <c r="J113" i="10"/>
  <c r="AG107" i="7" l="1"/>
  <c r="AI107" i="7" s="1"/>
  <c r="AF107" i="7"/>
  <c r="O116" i="1"/>
  <c r="BL123" i="5" a="1"/>
  <c r="BL123" i="5" s="1"/>
  <c r="AR106" i="5"/>
  <c r="BY106" i="8"/>
  <c r="CQ106" i="8" s="1"/>
  <c r="CR106" i="8" s="1"/>
  <c r="BS107" i="8"/>
  <c r="BY107" i="8" s="1"/>
  <c r="BO107" i="8"/>
  <c r="BK107" i="8"/>
  <c r="BL107" i="8"/>
  <c r="BI107" i="8"/>
  <c r="BJ107" i="8"/>
  <c r="BG107" i="8"/>
  <c r="BH107" i="8"/>
  <c r="BF107" i="8"/>
  <c r="AP107" i="5"/>
  <c r="AC107" i="10"/>
  <c r="X107" i="10" s="1"/>
  <c r="AO107" i="5"/>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CJ107" i="8" s="1"/>
  <c r="CN107" i="8" s="1"/>
  <c r="BV107" i="8"/>
  <c r="BU107" i="8"/>
  <c r="CC107" i="8"/>
  <c r="CS107" i="8" s="1"/>
  <c r="CU106" i="8"/>
  <c r="CK106" i="8"/>
  <c r="CL106" i="8" s="1"/>
  <c r="AQ106" i="5"/>
  <c r="CY105" i="8"/>
  <c r="G105" i="1" s="1"/>
  <c r="M105" i="8" s="1"/>
  <c r="Z106" i="11"/>
  <c r="Q107" i="7"/>
  <c r="BT108" i="5"/>
  <c r="B108" i="7"/>
  <c r="AE108" i="7" s="1"/>
  <c r="A108" i="10"/>
  <c r="AA108" i="10" s="1"/>
  <c r="CD107" i="8"/>
  <c r="CT107" i="8" s="1"/>
  <c r="D108" i="9"/>
  <c r="A108" i="11"/>
  <c r="N108" i="11" s="1"/>
  <c r="AA106" i="11"/>
  <c r="AK106" i="1" s="1"/>
  <c r="AB106" i="11"/>
  <c r="P106" i="8" s="1"/>
  <c r="AC106" i="11"/>
  <c r="T106" i="8" s="1"/>
  <c r="AW108" i="5"/>
  <c r="Y106" i="11"/>
  <c r="AH106" i="1" s="1"/>
  <c r="B107" i="14"/>
  <c r="N107" i="11"/>
  <c r="DA108" i="8"/>
  <c r="DB108" i="8" s="1"/>
  <c r="B108" i="9"/>
  <c r="W108" i="9" s="1"/>
  <c r="N107" i="7"/>
  <c r="E108" i="1"/>
  <c r="W108" i="8"/>
  <c r="BE108" i="8"/>
  <c r="BN108" i="8" s="1"/>
  <c r="AI108" i="5"/>
  <c r="AV108" i="5"/>
  <c r="BR108" i="8"/>
  <c r="BU108" i="8" s="1"/>
  <c r="BD108" i="8"/>
  <c r="BP108" i="8" s="1"/>
  <c r="AJ108" i="5"/>
  <c r="AB108" i="8"/>
  <c r="BM108" i="8" s="1"/>
  <c r="BY112" i="11"/>
  <c r="AA111" i="7"/>
  <c r="AE111" i="8" s="1"/>
  <c r="AS111" i="8" s="1"/>
  <c r="K111" i="10"/>
  <c r="L111" i="11"/>
  <c r="B110" i="1"/>
  <c r="BG110" i="1" s="1"/>
  <c r="B110" i="2"/>
  <c r="AH110" i="5"/>
  <c r="BU110" i="5"/>
  <c r="B110" i="5"/>
  <c r="L111" i="5"/>
  <c r="G110" i="10"/>
  <c r="I110" i="7"/>
  <c r="I111" i="5"/>
  <c r="D110" i="10"/>
  <c r="F110" i="7"/>
  <c r="DG109" i="5" a="1"/>
  <c r="DG109" i="5" s="1"/>
  <c r="J111" i="5"/>
  <c r="DC111" i="5" s="1"/>
  <c r="E110" i="10"/>
  <c r="G110" i="7"/>
  <c r="G111" i="5"/>
  <c r="D110" i="7"/>
  <c r="B110" i="10"/>
  <c r="K111" i="5"/>
  <c r="F110" i="10"/>
  <c r="H110" i="7"/>
  <c r="DD110" i="5"/>
  <c r="M111" i="5"/>
  <c r="H110" i="10"/>
  <c r="J110" i="7"/>
  <c r="H111" i="5"/>
  <c r="C110" i="10"/>
  <c r="E110" i="7"/>
  <c r="CB113" i="8"/>
  <c r="AF119" i="9"/>
  <c r="J109" i="2"/>
  <c r="CZ110" i="5"/>
  <c r="C109" i="5"/>
  <c r="F109" i="5" s="1"/>
  <c r="AB110" i="1"/>
  <c r="DI110" i="5"/>
  <c r="V110" i="2"/>
  <c r="AC109" i="1"/>
  <c r="DA109" i="5"/>
  <c r="AE119" i="9"/>
  <c r="AI119" i="9"/>
  <c r="N95" i="1"/>
  <c r="S112" i="2"/>
  <c r="N113" i="2"/>
  <c r="R113" i="2"/>
  <c r="Q112" i="2"/>
  <c r="O114" i="2"/>
  <c r="J114" i="10"/>
  <c r="M113" i="2"/>
  <c r="P114" i="2"/>
  <c r="AG108" i="7" l="1"/>
  <c r="AI108" i="7" s="1"/>
  <c r="AF108" i="7"/>
  <c r="O117" i="1"/>
  <c r="BL124" i="5" a="1"/>
  <c r="BL124" i="5" s="1"/>
  <c r="O106" i="8"/>
  <c r="BZ107" i="8"/>
  <c r="CQ107" i="8" s="1"/>
  <c r="CR107" i="8" s="1"/>
  <c r="BO108" i="8"/>
  <c r="BK108" i="8"/>
  <c r="BL108" i="8"/>
  <c r="BI108" i="8"/>
  <c r="BJ108" i="8"/>
  <c r="BG108" i="8"/>
  <c r="BH108" i="8"/>
  <c r="BF108" i="8"/>
  <c r="AP108" i="5"/>
  <c r="AC108" i="10"/>
  <c r="X108" i="10" s="1"/>
  <c r="AO108" i="5"/>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L107" i="8" s="1"/>
  <c r="CU107" i="8"/>
  <c r="AQ107" i="5"/>
  <c r="CY106" i="8"/>
  <c r="G106" i="1" s="1"/>
  <c r="M106" i="8" s="1"/>
  <c r="AR107" i="5"/>
  <c r="AA107" i="11"/>
  <c r="AK107" i="1" s="1"/>
  <c r="AB107" i="11"/>
  <c r="P107" i="8" s="1"/>
  <c r="B108" i="14"/>
  <c r="Q108" i="7"/>
  <c r="AC107" i="11"/>
  <c r="T107" i="8" s="1"/>
  <c r="BT108" i="8"/>
  <c r="CJ108" i="8" s="1"/>
  <c r="CN108" i="8" s="1"/>
  <c r="O107"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F120" i="9"/>
  <c r="CZ111" i="5"/>
  <c r="AW109" i="5"/>
  <c r="BT109" i="5"/>
  <c r="AV109" i="5"/>
  <c r="A109" i="10"/>
  <c r="AA109" i="10" s="1"/>
  <c r="B109" i="7"/>
  <c r="AJ109" i="5"/>
  <c r="W109" i="8"/>
  <c r="E109" i="1"/>
  <c r="AI109" i="5"/>
  <c r="B109" i="9"/>
  <c r="W109" i="9" s="1"/>
  <c r="A109" i="11"/>
  <c r="AB109" i="8"/>
  <c r="BM109" i="8" s="1"/>
  <c r="J110" i="2"/>
  <c r="C110" i="5"/>
  <c r="F110" i="5" s="1"/>
  <c r="V111" i="2"/>
  <c r="AC110" i="1"/>
  <c r="DA110" i="5"/>
  <c r="DG110" i="5" s="1" a="1"/>
  <c r="DG110" i="5" s="1"/>
  <c r="AB111" i="1"/>
  <c r="DI111" i="5"/>
  <c r="AE120" i="9"/>
  <c r="AI120" i="9"/>
  <c r="N96" i="1"/>
  <c r="S113" i="2"/>
  <c r="N114" i="2"/>
  <c r="R114" i="2"/>
  <c r="Q113" i="2"/>
  <c r="M114" i="2"/>
  <c r="J115" i="10"/>
  <c r="O115" i="2"/>
  <c r="P115" i="2"/>
  <c r="O118" i="1" l="1"/>
  <c r="BL125" i="5" a="1"/>
  <c r="BL125" i="5" s="1"/>
  <c r="AP109" i="5"/>
  <c r="BS109" i="8"/>
  <c r="BY109" i="8" s="1"/>
  <c r="BO109" i="8"/>
  <c r="BK109" i="8"/>
  <c r="BL109" i="8"/>
  <c r="BI109" i="8"/>
  <c r="BJ109" i="8"/>
  <c r="BG109" i="8"/>
  <c r="BH109" i="8"/>
  <c r="BF109" i="8"/>
  <c r="AC109" i="10"/>
  <c r="X109" i="10" s="1"/>
  <c r="AO109" i="5"/>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O108" i="8"/>
  <c r="BZ108" i="8"/>
  <c r="CQ108" i="8" s="1"/>
  <c r="CR108" i="8" s="1"/>
  <c r="CL108" i="8"/>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F121" i="9"/>
  <c r="AW110" i="5"/>
  <c r="AB110" i="8"/>
  <c r="BM110" i="8" s="1"/>
  <c r="BT110" i="5"/>
  <c r="A110" i="10"/>
  <c r="AA110" i="10" s="1"/>
  <c r="B110" i="7"/>
  <c r="AV110" i="5"/>
  <c r="W110" i="8"/>
  <c r="E110" i="1"/>
  <c r="AJ110" i="5"/>
  <c r="AI110" i="5"/>
  <c r="B110" i="9"/>
  <c r="W110" i="9" s="1"/>
  <c r="A110" i="11"/>
  <c r="CZ112" i="5"/>
  <c r="N109" i="11"/>
  <c r="AC108" i="11"/>
  <c r="T108" i="8" s="1"/>
  <c r="Z108" i="11"/>
  <c r="AB108" i="11"/>
  <c r="P108" i="8" s="1"/>
  <c r="AD108" i="11"/>
  <c r="AI108" i="1" s="1"/>
  <c r="AA108" i="11"/>
  <c r="AK108" i="1" s="1"/>
  <c r="Y108" i="11"/>
  <c r="AH108" i="1" s="1"/>
  <c r="J111" i="2"/>
  <c r="CD109" i="8"/>
  <c r="CT109" i="8" s="1"/>
  <c r="AE109" i="7"/>
  <c r="Q109" i="7"/>
  <c r="C111" i="5"/>
  <c r="F111" i="5" s="1"/>
  <c r="BV109" i="8"/>
  <c r="BX109" i="8"/>
  <c r="CO109" i="8" s="1"/>
  <c r="CP109" i="8" s="1"/>
  <c r="CC109" i="8"/>
  <c r="CS109" i="8" s="1"/>
  <c r="BT109" i="8"/>
  <c r="BW109" i="8"/>
  <c r="CM109" i="8" s="1"/>
  <c r="BU109" i="8"/>
  <c r="AB112" i="1"/>
  <c r="DI112" i="5"/>
  <c r="C112" i="5"/>
  <c r="AC111" i="1"/>
  <c r="DA111" i="5"/>
  <c r="DG111" i="5" s="1" a="1"/>
  <c r="DG111" i="5" s="1"/>
  <c r="AE121" i="9"/>
  <c r="AI121" i="9"/>
  <c r="N97" i="1"/>
  <c r="S114" i="2"/>
  <c r="N115" i="2"/>
  <c r="R115" i="2"/>
  <c r="Q114" i="2"/>
  <c r="P116" i="2"/>
  <c r="J116" i="10"/>
  <c r="M115" i="2"/>
  <c r="O116" i="2"/>
  <c r="AG109" i="7" l="1"/>
  <c r="AF109" i="7"/>
  <c r="O119" i="1"/>
  <c r="BL126" i="5" a="1"/>
  <c r="BL126" i="5" s="1"/>
  <c r="BZ109" i="8"/>
  <c r="CQ109" i="8" s="1"/>
  <c r="CR109" i="8" s="1"/>
  <c r="BO110" i="8"/>
  <c r="BK110" i="8"/>
  <c r="BL110" i="8"/>
  <c r="BI110" i="8"/>
  <c r="BJ110" i="8"/>
  <c r="BG110" i="8"/>
  <c r="BH110" i="8"/>
  <c r="BF110" i="8"/>
  <c r="AP110" i="5"/>
  <c r="AC110" i="10"/>
  <c r="X110" i="10" s="1"/>
  <c r="AO110" i="5"/>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CY108" i="8"/>
  <c r="G108" i="1" s="1"/>
  <c r="M108" i="8" s="1"/>
  <c r="B113" i="5"/>
  <c r="DF113" i="5"/>
  <c r="BY115" i="11"/>
  <c r="K114" i="10"/>
  <c r="AA114" i="7"/>
  <c r="AE114" i="8" s="1"/>
  <c r="AS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F122" i="9"/>
  <c r="AQ109" i="5"/>
  <c r="AR109" i="5"/>
  <c r="CK109" i="8"/>
  <c r="CU109" i="8"/>
  <c r="AB109" i="11"/>
  <c r="P109" i="8" s="1"/>
  <c r="Y109" i="11"/>
  <c r="AH109" i="1" s="1"/>
  <c r="N110" i="11"/>
  <c r="AA109" i="11"/>
  <c r="AK109" i="1" s="1"/>
  <c r="AD109" i="11"/>
  <c r="AI109" i="1" s="1"/>
  <c r="Z109" i="11"/>
  <c r="AC109" i="11"/>
  <c r="T109" i="8" s="1"/>
  <c r="B109" i="14"/>
  <c r="AI109" i="7"/>
  <c r="O109" i="8"/>
  <c r="CD110" i="8"/>
  <c r="CT110" i="8" s="1"/>
  <c r="Q110" i="7"/>
  <c r="AE110" i="7"/>
  <c r="J112" i="2"/>
  <c r="V112" i="2"/>
  <c r="CZ113" i="5"/>
  <c r="AW111" i="5"/>
  <c r="AJ111" i="5"/>
  <c r="W111" i="8"/>
  <c r="E111" i="1"/>
  <c r="B111" i="9"/>
  <c r="W111" i="9" s="1"/>
  <c r="AI111" i="5"/>
  <c r="A111" i="11"/>
  <c r="AB111" i="8"/>
  <c r="BM111" i="8" s="1"/>
  <c r="BT111" i="5"/>
  <c r="A111" i="10"/>
  <c r="AA111" i="10" s="1"/>
  <c r="B111" i="7"/>
  <c r="AV111" i="5"/>
  <c r="BX110" i="8"/>
  <c r="CO110" i="8" s="1"/>
  <c r="CP110" i="8" s="1"/>
  <c r="BV110" i="8"/>
  <c r="BW110" i="8"/>
  <c r="CM110" i="8" s="1"/>
  <c r="CC110" i="8"/>
  <c r="CS110" i="8" s="1"/>
  <c r="BT110" i="8"/>
  <c r="BU110" i="8"/>
  <c r="V113" i="2"/>
  <c r="AC112" i="1"/>
  <c r="DA112" i="5"/>
  <c r="DG112" i="5" s="1" a="1"/>
  <c r="DG112" i="5" s="1"/>
  <c r="AB113" i="1"/>
  <c r="DI113" i="5"/>
  <c r="AE122" i="9"/>
  <c r="AI122" i="9"/>
  <c r="N98" i="1"/>
  <c r="S115" i="2"/>
  <c r="N116" i="2"/>
  <c r="R116" i="2"/>
  <c r="Q115" i="2"/>
  <c r="P117" i="2"/>
  <c r="J117" i="10"/>
  <c r="O117" i="2"/>
  <c r="M116" i="2"/>
  <c r="AG110" i="7" l="1"/>
  <c r="AF110" i="7"/>
  <c r="O120" i="1"/>
  <c r="BL127" i="5" a="1"/>
  <c r="BL127" i="5" s="1"/>
  <c r="AP111" i="5"/>
  <c r="BS111" i="8"/>
  <c r="BY111" i="8" s="1"/>
  <c r="BO111" i="8"/>
  <c r="BK111" i="8"/>
  <c r="BL111" i="8"/>
  <c r="BI111" i="8"/>
  <c r="BJ111" i="8"/>
  <c r="BG111" i="8"/>
  <c r="BH111" i="8"/>
  <c r="BF111" i="8"/>
  <c r="AC111" i="10"/>
  <c r="X111" i="10" s="1"/>
  <c r="AO111" i="5"/>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AV112" i="5"/>
  <c r="BT112" i="5"/>
  <c r="AW112" i="5"/>
  <c r="BE112" i="8"/>
  <c r="BN112" i="8" s="1"/>
  <c r="CL109" i="8"/>
  <c r="CY109" i="8" s="1"/>
  <c r="G109" i="1" s="1"/>
  <c r="M109" i="8" s="1"/>
  <c r="E112" i="1"/>
  <c r="B112" i="7"/>
  <c r="AE112" i="7" s="1"/>
  <c r="W112" i="8"/>
  <c r="BD112" i="8"/>
  <c r="BP112" i="8" s="1"/>
  <c r="A112" i="10"/>
  <c r="AA112" i="10" s="1"/>
  <c r="DA112" i="8"/>
  <c r="DB112" i="8" s="1"/>
  <c r="B112" i="9"/>
  <c r="W112" i="9" s="1"/>
  <c r="AB112" i="8"/>
  <c r="BM112" i="8" s="1"/>
  <c r="CF112" i="8"/>
  <c r="AJ112" i="5"/>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Q110" i="8" s="1"/>
  <c r="CR110" i="8" s="1"/>
  <c r="CB117" i="8"/>
  <c r="N111" i="7"/>
  <c r="AF123" i="9"/>
  <c r="CK110" i="8"/>
  <c r="C113" i="5"/>
  <c r="F113" i="5" s="1"/>
  <c r="AQ110" i="5"/>
  <c r="AA110" i="11"/>
  <c r="AK110" i="1" s="1"/>
  <c r="Z110" i="11"/>
  <c r="AC110" i="11"/>
  <c r="T110" i="8" s="1"/>
  <c r="AD110" i="11"/>
  <c r="AI110" i="1" s="1"/>
  <c r="Y110" i="11"/>
  <c r="AH110" i="1" s="1"/>
  <c r="N111" i="11"/>
  <c r="AB110" i="11"/>
  <c r="P110" i="8" s="1"/>
  <c r="CD111" i="8"/>
  <c r="CT111" i="8" s="1"/>
  <c r="J113" i="2"/>
  <c r="Q111" i="7"/>
  <c r="AE111" i="7"/>
  <c r="BT111" i="8"/>
  <c r="BU111" i="8"/>
  <c r="CC111" i="8"/>
  <c r="CS111" i="8" s="1"/>
  <c r="BX111" i="8"/>
  <c r="CO111" i="8" s="1"/>
  <c r="CP111" i="8" s="1"/>
  <c r="BV111" i="8"/>
  <c r="BW111" i="8"/>
  <c r="CM111" i="8" s="1"/>
  <c r="CZ114" i="5"/>
  <c r="CU110" i="8"/>
  <c r="AR110" i="5"/>
  <c r="B110" i="14"/>
  <c r="AI110" i="7"/>
  <c r="AB114" i="1"/>
  <c r="DI114" i="5"/>
  <c r="V114" i="2"/>
  <c r="AC113" i="1"/>
  <c r="DA113" i="5"/>
  <c r="DG113" i="5" s="1" a="1"/>
  <c r="DG113" i="5" s="1"/>
  <c r="AE123" i="9"/>
  <c r="AI123" i="9"/>
  <c r="N99" i="1"/>
  <c r="S116" i="2"/>
  <c r="N117" i="2"/>
  <c r="R117" i="2"/>
  <c r="Q116" i="2"/>
  <c r="J118" i="10"/>
  <c r="M117" i="2"/>
  <c r="P118" i="2"/>
  <c r="O118" i="2"/>
  <c r="AG112" i="7" l="1"/>
  <c r="AI112" i="7" s="1"/>
  <c r="AF112" i="7"/>
  <c r="AG111" i="7"/>
  <c r="AF111" i="7"/>
  <c r="O121" i="1"/>
  <c r="BL128" i="5" a="1"/>
  <c r="BL128" i="5" s="1"/>
  <c r="BZ111" i="8"/>
  <c r="CQ111" i="8" s="1"/>
  <c r="CR111" i="8" s="1"/>
  <c r="BS112" i="8"/>
  <c r="BZ112" i="8" s="1"/>
  <c r="BO112" i="8"/>
  <c r="AP112" i="5"/>
  <c r="BK112" i="8"/>
  <c r="BL112" i="8"/>
  <c r="BI112" i="8"/>
  <c r="BJ112" i="8"/>
  <c r="BG112" i="8"/>
  <c r="BH112" i="8"/>
  <c r="BF112" i="8"/>
  <c r="AC112" i="10"/>
  <c r="X112" i="10" s="1"/>
  <c r="AO112" i="5"/>
  <c r="AM112" i="5"/>
  <c r="AN112" i="5"/>
  <c r="AS116" i="5"/>
  <c r="E120" i="8"/>
  <c r="BX112" i="8"/>
  <c r="CO112" i="8" s="1"/>
  <c r="CP112" i="8" s="1"/>
  <c r="CC112" i="8"/>
  <c r="CS112" i="8" s="1"/>
  <c r="BU112" i="8"/>
  <c r="BT112" i="8"/>
  <c r="CJ112" i="8" s="1"/>
  <c r="CN112" i="8" s="1"/>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O111" i="8"/>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O110" i="8"/>
  <c r="CF113" i="8"/>
  <c r="CB118" i="8"/>
  <c r="BR113" i="8"/>
  <c r="BE113" i="8"/>
  <c r="BN113" i="8" s="1"/>
  <c r="AB113" i="8"/>
  <c r="BM113" i="8" s="1"/>
  <c r="BD113" i="8"/>
  <c r="BP113" i="8" s="1"/>
  <c r="AF124" i="9"/>
  <c r="B113" i="9"/>
  <c r="W113" i="9" s="1"/>
  <c r="AV113" i="5"/>
  <c r="AQ111" i="5"/>
  <c r="A113" i="10"/>
  <c r="AA113" i="10" s="1"/>
  <c r="BT113" i="5"/>
  <c r="A113" i="11"/>
  <c r="AI113" i="5"/>
  <c r="B113" i="7"/>
  <c r="AJ113" i="5"/>
  <c r="AR111" i="5"/>
  <c r="W113" i="8"/>
  <c r="E113" i="1"/>
  <c r="AW113" i="5"/>
  <c r="CU111" i="8"/>
  <c r="J114" i="2"/>
  <c r="C114" i="5"/>
  <c r="F114" i="5" s="1"/>
  <c r="CZ115" i="5"/>
  <c r="CK111" i="8"/>
  <c r="B111" i="14"/>
  <c r="AI111" i="7"/>
  <c r="C115" i="5"/>
  <c r="AC114" i="1"/>
  <c r="DA114" i="5"/>
  <c r="DG114" i="5" s="1" a="1"/>
  <c r="DG114" i="5" s="1"/>
  <c r="AB115" i="1"/>
  <c r="DI115" i="5"/>
  <c r="AE124" i="9"/>
  <c r="AI124" i="9"/>
  <c r="N100" i="1"/>
  <c r="S117" i="2"/>
  <c r="N118" i="2"/>
  <c r="R118" i="2"/>
  <c r="Q117" i="2"/>
  <c r="M118" i="2"/>
  <c r="O119" i="2"/>
  <c r="P119" i="2"/>
  <c r="J119" i="10"/>
  <c r="O122" i="1" l="1"/>
  <c r="BL129" i="5" a="1"/>
  <c r="BL129" i="5" s="1"/>
  <c r="BY112" i="8"/>
  <c r="CQ112" i="8" s="1"/>
  <c r="CR112" i="8" s="1"/>
  <c r="AP113" i="5"/>
  <c r="BS113" i="8"/>
  <c r="BY113" i="8" s="1"/>
  <c r="BO113" i="8"/>
  <c r="BK113" i="8"/>
  <c r="BL113" i="8"/>
  <c r="BI113" i="8"/>
  <c r="BJ113" i="8"/>
  <c r="BG113" i="8"/>
  <c r="BH113" i="8"/>
  <c r="BF113" i="8"/>
  <c r="AC113" i="10"/>
  <c r="X113" i="10" s="1"/>
  <c r="AO113" i="5"/>
  <c r="AM113" i="5"/>
  <c r="AN113" i="5"/>
  <c r="AS117" i="5"/>
  <c r="CK112" i="8"/>
  <c r="CL112" i="8" s="1"/>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D115" i="8" s="1"/>
  <c r="BP115" i="8"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W114" i="9" s="1"/>
  <c r="BD114" i="8"/>
  <c r="BP114" i="8" s="1"/>
  <c r="AF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Q113" i="7"/>
  <c r="AV114" i="5"/>
  <c r="BT114" i="5"/>
  <c r="AI114" i="5"/>
  <c r="E114" i="1"/>
  <c r="V115" i="2"/>
  <c r="AW114" i="5"/>
  <c r="AB114" i="8"/>
  <c r="BM114" i="8" s="1"/>
  <c r="B114" i="7"/>
  <c r="AJ114" i="5"/>
  <c r="A114" i="10"/>
  <c r="AA114" i="10" s="1"/>
  <c r="W114" i="8"/>
  <c r="A114" i="11"/>
  <c r="J115" i="2"/>
  <c r="CZ116" i="5"/>
  <c r="AB116" i="1"/>
  <c r="DI116" i="5"/>
  <c r="C116" i="5"/>
  <c r="AC115" i="1"/>
  <c r="DA115" i="5"/>
  <c r="DG115" i="5" s="1" a="1"/>
  <c r="DG115" i="5" s="1"/>
  <c r="AE125" i="9"/>
  <c r="AI125" i="9"/>
  <c r="N101" i="1"/>
  <c r="S118" i="2"/>
  <c r="N119" i="2"/>
  <c r="R119" i="2"/>
  <c r="Q118" i="2"/>
  <c r="J120" i="10"/>
  <c r="O120" i="2"/>
  <c r="P120" i="2"/>
  <c r="M119" i="2"/>
  <c r="AG113" i="7" l="1"/>
  <c r="AF113" i="7"/>
  <c r="O123" i="1"/>
  <c r="BL130" i="5" a="1"/>
  <c r="BL130" i="5" s="1"/>
  <c r="O112" i="8"/>
  <c r="BZ113" i="8"/>
  <c r="CQ113" i="8" s="1"/>
  <c r="CR113" i="8" s="1"/>
  <c r="AP114" i="5"/>
  <c r="BS115" i="8"/>
  <c r="BY115" i="8" s="1"/>
  <c r="BO115" i="8"/>
  <c r="BO114" i="8"/>
  <c r="BK114" i="8"/>
  <c r="BL114" i="8"/>
  <c r="BI114" i="8"/>
  <c r="BJ114" i="8"/>
  <c r="BG114" i="8"/>
  <c r="BH114" i="8"/>
  <c r="BF114" i="8"/>
  <c r="AC114" i="10"/>
  <c r="X114" i="10" s="1"/>
  <c r="AO114" i="5"/>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CY112" i="8"/>
  <c r="G112" i="1" s="1"/>
  <c r="M112" i="8" s="1"/>
  <c r="AI115" i="5"/>
  <c r="B115" i="7"/>
  <c r="AE115" i="7" s="1"/>
  <c r="A115" i="11"/>
  <c r="Y114" i="11" s="1"/>
  <c r="AH114" i="1" s="1"/>
  <c r="AV115" i="5"/>
  <c r="BR115" i="8"/>
  <c r="BX115" i="8" s="1"/>
  <c r="CO115" i="8" s="1"/>
  <c r="CP115" i="8" s="1"/>
  <c r="AJ115" i="5"/>
  <c r="CF115" i="8"/>
  <c r="E115" i="1"/>
  <c r="A115" i="10"/>
  <c r="AA115" i="10" s="1"/>
  <c r="AB115" i="8"/>
  <c r="BM115" i="8" s="1"/>
  <c r="BT115" i="5"/>
  <c r="DA115" i="8"/>
  <c r="DB115" i="8" s="1"/>
  <c r="B115" i="9"/>
  <c r="W115" i="9" s="1"/>
  <c r="BE115" i="8"/>
  <c r="BN115" i="8" s="1"/>
  <c r="W115" i="8"/>
  <c r="AW115" i="5"/>
  <c r="F116" i="5"/>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D116" i="9" s="1"/>
  <c r="CB120" i="8"/>
  <c r="BS114" i="8"/>
  <c r="BY114" i="8" s="1"/>
  <c r="N114" i="7"/>
  <c r="AF126" i="9"/>
  <c r="AR113" i="5"/>
  <c r="AQ113" i="5"/>
  <c r="CU113" i="8"/>
  <c r="CK113" i="8"/>
  <c r="O113" i="8"/>
  <c r="CD114" i="8"/>
  <c r="CT114" i="8" s="1"/>
  <c r="B113" i="14"/>
  <c r="AI113" i="7"/>
  <c r="CC114" i="8"/>
  <c r="CS114" i="8" s="1"/>
  <c r="BU114" i="8"/>
  <c r="BV114" i="8"/>
  <c r="BW114" i="8"/>
  <c r="CM114" i="8" s="1"/>
  <c r="BT114" i="8"/>
  <c r="BX114" i="8"/>
  <c r="CO114" i="8" s="1"/>
  <c r="CP114" i="8" s="1"/>
  <c r="AE114" i="7"/>
  <c r="Q114" i="7"/>
  <c r="AC113" i="11"/>
  <c r="T113" i="8" s="1"/>
  <c r="Y113" i="11"/>
  <c r="AH113" i="1" s="1"/>
  <c r="AD113" i="11"/>
  <c r="AI113" i="1" s="1"/>
  <c r="Z113" i="11"/>
  <c r="AB113" i="11"/>
  <c r="P113" i="8" s="1"/>
  <c r="N114" i="11"/>
  <c r="AA113" i="11"/>
  <c r="AK113" i="1" s="1"/>
  <c r="J116" i="2"/>
  <c r="V116" i="2"/>
  <c r="CZ117" i="5"/>
  <c r="C117" i="5"/>
  <c r="AC116" i="1"/>
  <c r="DA116" i="5"/>
  <c r="DG116" i="5" s="1" a="1"/>
  <c r="DG116" i="5" s="1"/>
  <c r="AB117" i="1"/>
  <c r="DI117" i="5"/>
  <c r="AE126" i="9"/>
  <c r="AI126" i="9"/>
  <c r="N102" i="1"/>
  <c r="S119" i="2"/>
  <c r="N120" i="2"/>
  <c r="R120" i="2"/>
  <c r="Q119" i="2"/>
  <c r="M120" i="2"/>
  <c r="P121" i="2"/>
  <c r="O121" i="2"/>
  <c r="J121" i="10"/>
  <c r="AG114" i="7" l="1"/>
  <c r="AF114" i="7"/>
  <c r="AG115" i="7"/>
  <c r="AI115" i="7" s="1"/>
  <c r="AF115" i="7"/>
  <c r="O124" i="1"/>
  <c r="BL131" i="5" a="1"/>
  <c r="BL131" i="5" s="1"/>
  <c r="BZ115" i="8"/>
  <c r="CQ115" i="8" s="1"/>
  <c r="CR115" i="8" s="1"/>
  <c r="BK115" i="8"/>
  <c r="BL115" i="8"/>
  <c r="AP115" i="5"/>
  <c r="BI115" i="8"/>
  <c r="BJ115" i="8"/>
  <c r="BG115" i="8"/>
  <c r="BH115" i="8"/>
  <c r="BF115" i="8"/>
  <c r="AC115" i="10"/>
  <c r="X115" i="10" s="1"/>
  <c r="AO115" i="5"/>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CJ115" i="8" s="1"/>
  <c r="CN115" i="8" s="1"/>
  <c r="E116" i="1"/>
  <c r="A116" i="11"/>
  <c r="AC115" i="11" s="1"/>
  <c r="T115" i="8" s="1"/>
  <c r="CC115" i="8"/>
  <c r="CS115" i="8" s="1"/>
  <c r="CD115" i="8"/>
  <c r="CT115" i="8" s="1"/>
  <c r="BW115" i="8"/>
  <c r="CM115" i="8" s="1"/>
  <c r="BV115" i="8"/>
  <c r="BU115" i="8"/>
  <c r="DA116" i="8"/>
  <c r="DB116" i="8" s="1"/>
  <c r="W116" i="8"/>
  <c r="BD116" i="8"/>
  <c r="BP116" i="8" s="1"/>
  <c r="BR116" i="8"/>
  <c r="BX116" i="8" s="1"/>
  <c r="CO116" i="8" s="1"/>
  <c r="CP116" i="8" s="1"/>
  <c r="AV116" i="5"/>
  <c r="B116" i="7"/>
  <c r="AE116" i="7" s="1"/>
  <c r="AI116" i="5"/>
  <c r="BT116" i="5"/>
  <c r="B116" i="9"/>
  <c r="W116" i="9" s="1"/>
  <c r="AB116" i="8"/>
  <c r="BM116" i="8" s="1"/>
  <c r="AJ116" i="5"/>
  <c r="AW116" i="5"/>
  <c r="F117" i="5"/>
  <c r="DA117" i="8" s="1"/>
  <c r="DB117" i="8"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V117" i="2"/>
  <c r="B114" i="14"/>
  <c r="AI114" i="7"/>
  <c r="O114" i="8"/>
  <c r="J117" i="2"/>
  <c r="CZ118" i="5"/>
  <c r="AB118" i="1"/>
  <c r="DI118" i="5"/>
  <c r="V118" i="2"/>
  <c r="AC117" i="1"/>
  <c r="DA117" i="5"/>
  <c r="DG117" i="5" s="1" a="1"/>
  <c r="DG117" i="5" s="1"/>
  <c r="AE127" i="9"/>
  <c r="AI127" i="9"/>
  <c r="N103" i="1"/>
  <c r="S120" i="2"/>
  <c r="N121" i="2"/>
  <c r="R121" i="2"/>
  <c r="Q120" i="2"/>
  <c r="O122" i="2"/>
  <c r="J122" i="10"/>
  <c r="M121" i="2"/>
  <c r="P122" i="2"/>
  <c r="AG116" i="7" l="1"/>
  <c r="AI116" i="7" s="1"/>
  <c r="AF116" i="7"/>
  <c r="O125" i="1"/>
  <c r="BL132" i="5" a="1"/>
  <c r="BL132" i="5" s="1"/>
  <c r="BS116" i="8"/>
  <c r="BZ116" i="8" s="1"/>
  <c r="BO116" i="8"/>
  <c r="BK116" i="8"/>
  <c r="BL116" i="8"/>
  <c r="BI116" i="8"/>
  <c r="BJ116" i="8"/>
  <c r="BG116" i="8"/>
  <c r="BH116" i="8"/>
  <c r="AP116" i="5"/>
  <c r="BF116" i="8"/>
  <c r="AC116" i="10"/>
  <c r="X116" i="10" s="1"/>
  <c r="AO116" i="5"/>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CL115" i="8" s="1"/>
  <c r="AB117" i="8"/>
  <c r="BM117" i="8" s="1"/>
  <c r="CU115" i="8"/>
  <c r="O115" i="8"/>
  <c r="CD116" i="8"/>
  <c r="CT116" i="8" s="1"/>
  <c r="N116" i="7"/>
  <c r="AR115" i="5"/>
  <c r="B117" i="9"/>
  <c r="W117" i="9" s="1"/>
  <c r="AI117" i="5"/>
  <c r="W117" i="8"/>
  <c r="AV117" i="5"/>
  <c r="AW117" i="5"/>
  <c r="E117" i="1"/>
  <c r="B117" i="7"/>
  <c r="AE117" i="7" s="1"/>
  <c r="A117" i="10"/>
  <c r="AA117" i="10" s="1"/>
  <c r="CL114" i="8"/>
  <c r="CY114" i="8" s="1"/>
  <c r="G114" i="1" s="1"/>
  <c r="M114" i="8" s="1"/>
  <c r="D117" i="9"/>
  <c r="B116" i="14"/>
  <c r="Q116" i="7"/>
  <c r="BW116" i="8"/>
  <c r="CM116" i="8" s="1"/>
  <c r="BR117" i="8"/>
  <c r="BT117" i="8" s="1"/>
  <c r="CJ117" i="8" s="1"/>
  <c r="CN117" i="8" s="1"/>
  <c r="BE117" i="8"/>
  <c r="BN117" i="8" s="1"/>
  <c r="AJ117" i="5"/>
  <c r="A117" i="11"/>
  <c r="Z116" i="11" s="1"/>
  <c r="CF117" i="8"/>
  <c r="BT116" i="8"/>
  <c r="CJ116" i="8" s="1"/>
  <c r="CN116" i="8" s="1"/>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D117" i="8"/>
  <c r="CT117" i="8" s="1"/>
  <c r="CZ119" i="5"/>
  <c r="J118" i="2"/>
  <c r="C118" i="5"/>
  <c r="F118" i="5" s="1"/>
  <c r="C119" i="5"/>
  <c r="AC118" i="1"/>
  <c r="DA118" i="5"/>
  <c r="DG118" i="5" s="1" a="1"/>
  <c r="DG118" i="5" s="1"/>
  <c r="AB119" i="1"/>
  <c r="DI119" i="5"/>
  <c r="AE128" i="9"/>
  <c r="AI128" i="9"/>
  <c r="N104" i="1"/>
  <c r="S121" i="2"/>
  <c r="N122" i="2"/>
  <c r="R122" i="2"/>
  <c r="Q121" i="2"/>
  <c r="J123" i="10"/>
  <c r="M122" i="2"/>
  <c r="O123" i="2"/>
  <c r="P123" i="2"/>
  <c r="AG117" i="7" l="1"/>
  <c r="AI117" i="7" s="1"/>
  <c r="AF117" i="7"/>
  <c r="O126" i="1"/>
  <c r="BL133" i="5" a="1"/>
  <c r="BL133" i="5" s="1"/>
  <c r="BY116" i="8"/>
  <c r="CQ116" i="8" s="1"/>
  <c r="CR116" i="8" s="1"/>
  <c r="BS117" i="8"/>
  <c r="BY117" i="8" s="1"/>
  <c r="BO117" i="8"/>
  <c r="BK117" i="8"/>
  <c r="BL117" i="8"/>
  <c r="BI117" i="8"/>
  <c r="BJ117" i="8"/>
  <c r="BG117" i="8"/>
  <c r="BH117" i="8"/>
  <c r="AP117" i="5"/>
  <c r="BF117" i="8"/>
  <c r="AC117" i="10"/>
  <c r="X117" i="10" s="1"/>
  <c r="AO117" i="5"/>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CU117" i="8" s="1"/>
  <c r="AA116" i="11"/>
  <c r="AK116" i="1" s="1"/>
  <c r="N117" i="11"/>
  <c r="F119" i="5"/>
  <c r="CK116" i="8"/>
  <c r="CL116" i="8" s="1"/>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F129" i="9"/>
  <c r="V119" i="2"/>
  <c r="J119" i="2"/>
  <c r="AW118" i="5"/>
  <c r="A118" i="10"/>
  <c r="AA118" i="10" s="1"/>
  <c r="B118" i="7"/>
  <c r="W118" i="8"/>
  <c r="AV118" i="5"/>
  <c r="E118" i="1"/>
  <c r="AJ118" i="5"/>
  <c r="B118" i="9"/>
  <c r="W118" i="9" s="1"/>
  <c r="AI118" i="5"/>
  <c r="A118" i="11"/>
  <c r="AB118" i="8"/>
  <c r="BM118" i="8" s="1"/>
  <c r="BT118" i="5"/>
  <c r="CZ120" i="5"/>
  <c r="AB120" i="1"/>
  <c r="DI120" i="5"/>
  <c r="V120" i="2"/>
  <c r="AC119" i="1"/>
  <c r="DA119" i="5"/>
  <c r="DG119" i="5" s="1" a="1"/>
  <c r="DG119" i="5" s="1"/>
  <c r="AE129" i="9"/>
  <c r="AI129" i="9"/>
  <c r="N105" i="1"/>
  <c r="S122" i="2"/>
  <c r="N123" i="2"/>
  <c r="R123" i="2"/>
  <c r="Q122" i="2"/>
  <c r="M123" i="2"/>
  <c r="O124" i="2"/>
  <c r="P124" i="2"/>
  <c r="J124" i="10"/>
  <c r="O127" i="1" l="1"/>
  <c r="BL134" i="5" a="1"/>
  <c r="BL134" i="5" s="1"/>
  <c r="O116" i="8"/>
  <c r="BZ117" i="8"/>
  <c r="CQ117" i="8" s="1"/>
  <c r="CR117" i="8" s="1"/>
  <c r="BS118" i="8"/>
  <c r="BZ118" i="8" s="1"/>
  <c r="BO118" i="8"/>
  <c r="BK118" i="8"/>
  <c r="BL118" i="8"/>
  <c r="BI118" i="8"/>
  <c r="BJ118" i="8"/>
  <c r="BG118" i="8"/>
  <c r="BH118" i="8"/>
  <c r="BF118" i="8"/>
  <c r="AP118" i="5"/>
  <c r="AC118" i="10"/>
  <c r="X118" i="10" s="1"/>
  <c r="AO118" i="5"/>
  <c r="AN118" i="5"/>
  <c r="AM118" i="5"/>
  <c r="AK122" i="11"/>
  <c r="AS122" i="5"/>
  <c r="E126" i="8"/>
  <c r="DE121" i="5"/>
  <c r="CY116" i="8"/>
  <c r="G116" i="1" s="1"/>
  <c r="M116" i="8" s="1"/>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O117" i="8"/>
  <c r="BE119" i="8"/>
  <c r="BN119" i="8" s="1"/>
  <c r="AV119" i="5"/>
  <c r="A119" i="10"/>
  <c r="AA119" i="10" s="1"/>
  <c r="A119" i="11"/>
  <c r="N119" i="11" s="1"/>
  <c r="E119" i="1"/>
  <c r="AI119" i="5"/>
  <c r="B119" i="9"/>
  <c r="W119" i="9" s="1"/>
  <c r="AW119" i="5"/>
  <c r="BR119" i="8"/>
  <c r="BW119" i="8" s="1"/>
  <c r="CM119" i="8" s="1"/>
  <c r="B119" i="7"/>
  <c r="AE119" i="7" s="1"/>
  <c r="AJ119" i="5"/>
  <c r="AB119" i="8"/>
  <c r="BM119" i="8" s="1"/>
  <c r="BD119" i="8"/>
  <c r="BP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F130" i="9"/>
  <c r="C120" i="5"/>
  <c r="F120" i="5" s="1"/>
  <c r="AC117" i="11"/>
  <c r="T117" i="8" s="1"/>
  <c r="AB117" i="11"/>
  <c r="P117" i="8" s="1"/>
  <c r="AD117" i="11"/>
  <c r="AI117" i="1" s="1"/>
  <c r="AA117" i="11"/>
  <c r="AK117" i="1" s="1"/>
  <c r="N118" i="11"/>
  <c r="Z117" i="11"/>
  <c r="Y117" i="11"/>
  <c r="AH117" i="1" s="1"/>
  <c r="J120" i="2"/>
  <c r="CD118" i="8"/>
  <c r="CT118" i="8" s="1"/>
  <c r="AE118" i="7"/>
  <c r="Q118" i="7"/>
  <c r="CZ121" i="5"/>
  <c r="BT118" i="8"/>
  <c r="BU118" i="8"/>
  <c r="CC118" i="8"/>
  <c r="CS118" i="8" s="1"/>
  <c r="BX118" i="8"/>
  <c r="CO118" i="8" s="1"/>
  <c r="CP118" i="8" s="1"/>
  <c r="BV118" i="8"/>
  <c r="BW118" i="8"/>
  <c r="CM118" i="8" s="1"/>
  <c r="V121" i="2"/>
  <c r="AC120" i="1"/>
  <c r="DA120" i="5"/>
  <c r="DG120" i="5" s="1" a="1"/>
  <c r="DG120" i="5" s="1"/>
  <c r="AB121" i="1"/>
  <c r="DI121" i="5"/>
  <c r="AE130" i="9"/>
  <c r="AI130" i="9"/>
  <c r="N106" i="1"/>
  <c r="S123" i="2"/>
  <c r="N124" i="2"/>
  <c r="R124" i="2"/>
  <c r="Q123" i="2"/>
  <c r="J125" i="10"/>
  <c r="O125" i="2"/>
  <c r="P125" i="2"/>
  <c r="M124" i="2"/>
  <c r="AG118" i="7" l="1"/>
  <c r="AF118" i="7"/>
  <c r="AG119" i="7"/>
  <c r="AI119" i="7" s="1"/>
  <c r="AF119" i="7"/>
  <c r="O128" i="1"/>
  <c r="BY118" i="8"/>
  <c r="CQ118" i="8" s="1"/>
  <c r="CR118" i="8" s="1"/>
  <c r="BL135" i="5" a="1"/>
  <c r="BL135" i="5" s="1"/>
  <c r="CY117" i="8"/>
  <c r="G117" i="1" s="1"/>
  <c r="M117" i="8" s="1"/>
  <c r="AK123" i="11"/>
  <c r="BS119" i="8"/>
  <c r="BY119" i="8" s="1"/>
  <c r="BO119" i="8"/>
  <c r="BK119" i="8"/>
  <c r="BL119" i="8"/>
  <c r="BI119" i="8"/>
  <c r="BJ119" i="8"/>
  <c r="BG119" i="8"/>
  <c r="BH119" i="8"/>
  <c r="BF119" i="8"/>
  <c r="AP119" i="5"/>
  <c r="AC119" i="10"/>
  <c r="X119" i="10" s="1"/>
  <c r="AO119" i="5"/>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CJ119" i="8" s="1"/>
  <c r="CN119" i="8" s="1"/>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BD120" i="8"/>
  <c r="AF131" i="9"/>
  <c r="CU118" i="8"/>
  <c r="A120" i="11"/>
  <c r="AC119" i="11" s="1"/>
  <c r="T119" i="8" s="1"/>
  <c r="B120" i="9"/>
  <c r="W120" i="9" s="1"/>
  <c r="E120" i="1"/>
  <c r="AB120" i="8"/>
  <c r="BM120" i="8" s="1"/>
  <c r="AJ120" i="5"/>
  <c r="BT120" i="5"/>
  <c r="W120" i="8"/>
  <c r="AI120" i="5"/>
  <c r="A120" i="10"/>
  <c r="AA120" i="10" s="1"/>
  <c r="AW120" i="5"/>
  <c r="AV120" i="5"/>
  <c r="AR118" i="5"/>
  <c r="J121" i="2"/>
  <c r="C121" i="5"/>
  <c r="F121" i="5" s="1"/>
  <c r="CK118" i="8"/>
  <c r="AQ118" i="5"/>
  <c r="B118" i="14"/>
  <c r="AI118" i="7"/>
  <c r="CZ122" i="5"/>
  <c r="AB122" i="1"/>
  <c r="DI122" i="5"/>
  <c r="J122" i="2"/>
  <c r="AC121" i="1"/>
  <c r="DA121" i="5"/>
  <c r="DG121" i="5" s="1" a="1"/>
  <c r="DG121" i="5" s="1"/>
  <c r="AE131" i="9"/>
  <c r="AI131" i="9"/>
  <c r="N107" i="1"/>
  <c r="S124" i="2"/>
  <c r="N125" i="2"/>
  <c r="R125" i="2"/>
  <c r="Q124" i="2"/>
  <c r="O126" i="2"/>
  <c r="P126" i="2"/>
  <c r="M125" i="2"/>
  <c r="J126" i="10"/>
  <c r="AG120" i="7" l="1"/>
  <c r="AF120" i="7"/>
  <c r="O129" i="1"/>
  <c r="O118" i="8"/>
  <c r="BL136" i="5" a="1"/>
  <c r="BL136" i="5" s="1"/>
  <c r="AK124" i="11"/>
  <c r="BZ119" i="8"/>
  <c r="CQ119" i="8" s="1"/>
  <c r="CR119" i="8" s="1"/>
  <c r="BO120" i="8"/>
  <c r="BP120" i="8"/>
  <c r="BK120" i="8"/>
  <c r="BL120" i="8"/>
  <c r="BI120" i="8"/>
  <c r="BJ120" i="8"/>
  <c r="BG120" i="8"/>
  <c r="BH120" i="8"/>
  <c r="BF120" i="8"/>
  <c r="AN120" i="5"/>
  <c r="AP120" i="5"/>
  <c r="AC120" i="10"/>
  <c r="X120" i="10" s="1"/>
  <c r="AO120" i="5"/>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Y118" i="8" s="1"/>
  <c r="G118" i="1" s="1"/>
  <c r="M118" i="8" s="1"/>
  <c r="CK119" i="8"/>
  <c r="CL119" i="8" s="1"/>
  <c r="AQ119" i="5"/>
  <c r="AR119" i="5"/>
  <c r="CU119" i="8"/>
  <c r="D121" i="9"/>
  <c r="O119" i="8"/>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BD121" i="8"/>
  <c r="BP121" i="8" s="1"/>
  <c r="AF132" i="9"/>
  <c r="B120" i="14"/>
  <c r="AD119" i="11"/>
  <c r="AI119" i="1" s="1"/>
  <c r="AB119" i="11"/>
  <c r="P119" i="8" s="1"/>
  <c r="Z119" i="11"/>
  <c r="AI120" i="7"/>
  <c r="AA119" i="11"/>
  <c r="AK119" i="1" s="1"/>
  <c r="Y119" i="11"/>
  <c r="AH119" i="1" s="1"/>
  <c r="N120" i="11"/>
  <c r="AI121" i="5"/>
  <c r="CD120" i="8"/>
  <c r="CT120" i="8" s="1"/>
  <c r="W121" i="8"/>
  <c r="A121" i="10"/>
  <c r="AA121" i="10" s="1"/>
  <c r="BW120" i="8"/>
  <c r="CM120" i="8" s="1"/>
  <c r="BT120" i="8"/>
  <c r="BV120" i="8"/>
  <c r="BU120" i="8"/>
  <c r="BX120" i="8"/>
  <c r="CO120" i="8" s="1"/>
  <c r="CP120" i="8" s="1"/>
  <c r="CC120" i="8"/>
  <c r="CS120" i="8" s="1"/>
  <c r="B121" i="9"/>
  <c r="W121" i="9" s="1"/>
  <c r="AB121" i="8"/>
  <c r="BM121" i="8" s="1"/>
  <c r="AJ121" i="5"/>
  <c r="AW121" i="5"/>
  <c r="BT121" i="5"/>
  <c r="E121" i="1"/>
  <c r="A121" i="11"/>
  <c r="AV121" i="5"/>
  <c r="V122" i="2"/>
  <c r="C122" i="5"/>
  <c r="F122" i="5" s="1"/>
  <c r="CZ123" i="5"/>
  <c r="V123" i="2"/>
  <c r="AC122" i="1"/>
  <c r="DA122" i="5"/>
  <c r="DG122" i="5" s="1" a="1"/>
  <c r="DG122" i="5" s="1"/>
  <c r="AB123" i="1"/>
  <c r="DI123" i="5"/>
  <c r="AE132" i="9"/>
  <c r="AI132" i="9"/>
  <c r="N108" i="1"/>
  <c r="S125" i="2"/>
  <c r="N126" i="2"/>
  <c r="R126" i="2"/>
  <c r="Q125" i="2"/>
  <c r="M126" i="2"/>
  <c r="P127" i="2"/>
  <c r="J127" i="10"/>
  <c r="O127" i="2"/>
  <c r="AG121" i="7" l="1"/>
  <c r="AF121" i="7"/>
  <c r="O130" i="1"/>
  <c r="AK125" i="11"/>
  <c r="BS121" i="8"/>
  <c r="BZ121" i="8" s="1"/>
  <c r="BO121" i="8"/>
  <c r="BK121" i="8"/>
  <c r="BL121" i="8"/>
  <c r="BI121" i="8"/>
  <c r="BJ121" i="8"/>
  <c r="BG121" i="8"/>
  <c r="BH121" i="8"/>
  <c r="BF121" i="8"/>
  <c r="AP121" i="5"/>
  <c r="AC121" i="10"/>
  <c r="X121" i="10" s="1"/>
  <c r="AO121" i="5"/>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K126" i="11"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F133" i="9"/>
  <c r="B121" i="14"/>
  <c r="AR120" i="5"/>
  <c r="A122" i="10"/>
  <c r="AA122" i="10" s="1"/>
  <c r="CU120" i="8"/>
  <c r="E122" i="1"/>
  <c r="CK120" i="8"/>
  <c r="AI122" i="5"/>
  <c r="AI121" i="7"/>
  <c r="B122" i="9"/>
  <c r="W122" i="9" s="1"/>
  <c r="AB122" i="8"/>
  <c r="BM122" i="8" s="1"/>
  <c r="AJ122" i="5"/>
  <c r="A122" i="11"/>
  <c r="AV122" i="5"/>
  <c r="O120" i="8"/>
  <c r="W122" i="8"/>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AW122" i="5"/>
  <c r="J123" i="2"/>
  <c r="C123" i="5"/>
  <c r="F123" i="5" s="1"/>
  <c r="CZ124" i="5"/>
  <c r="AB124" i="1"/>
  <c r="DI124" i="5"/>
  <c r="C124" i="5"/>
  <c r="AC123" i="1"/>
  <c r="DA123" i="5"/>
  <c r="DG123" i="5" s="1" a="1"/>
  <c r="DG123" i="5" s="1"/>
  <c r="AE133" i="9"/>
  <c r="AI133" i="9"/>
  <c r="N109" i="1"/>
  <c r="S126" i="2"/>
  <c r="N127" i="2"/>
  <c r="R127" i="2"/>
  <c r="Q126" i="2"/>
  <c r="J128" i="10"/>
  <c r="M127" i="2"/>
  <c r="P128" i="2"/>
  <c r="O128" i="2"/>
  <c r="O131" i="1" l="1"/>
  <c r="BY121" i="8"/>
  <c r="CQ121" i="8" s="1"/>
  <c r="CR121" i="8" s="1"/>
  <c r="BO122" i="8"/>
  <c r="BK122" i="8"/>
  <c r="BL122" i="8"/>
  <c r="BI122" i="8"/>
  <c r="BJ122" i="8"/>
  <c r="BG122" i="8"/>
  <c r="BH122" i="8"/>
  <c r="AP122" i="5"/>
  <c r="BF122" i="8"/>
  <c r="AC122" i="10"/>
  <c r="X122" i="10" s="1"/>
  <c r="AO122" i="5"/>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AK127" i="11"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E124" i="1"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F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Q122" i="7"/>
  <c r="CU121" i="8"/>
  <c r="CK121" i="8"/>
  <c r="J124" i="2"/>
  <c r="V124" i="2"/>
  <c r="AW123" i="5"/>
  <c r="A123" i="11"/>
  <c r="AB123" i="8"/>
  <c r="BM123" i="8" s="1"/>
  <c r="BT123" i="5"/>
  <c r="AV123" i="5"/>
  <c r="A123" i="10"/>
  <c r="AA123" i="10" s="1"/>
  <c r="B123" i="7"/>
  <c r="AJ123" i="5"/>
  <c r="E123" i="1"/>
  <c r="AI123" i="5"/>
  <c r="B123" i="9"/>
  <c r="W123" i="9" s="1"/>
  <c r="W123" i="8"/>
  <c r="CZ125" i="5"/>
  <c r="J125" i="2"/>
  <c r="AC124" i="1"/>
  <c r="DA124" i="5"/>
  <c r="DG124" i="5" s="1" a="1"/>
  <c r="DG124" i="5" s="1"/>
  <c r="AB125" i="1"/>
  <c r="DI125" i="5"/>
  <c r="AE134" i="9"/>
  <c r="AI134" i="9"/>
  <c r="N110" i="1"/>
  <c r="S127" i="2"/>
  <c r="N128" i="2"/>
  <c r="R128" i="2"/>
  <c r="Q127" i="2"/>
  <c r="P129" i="2"/>
  <c r="M128" i="2"/>
  <c r="J129" i="10"/>
  <c r="O129" i="2"/>
  <c r="AG122" i="7" l="1"/>
  <c r="AF122" i="7"/>
  <c r="O132" i="1"/>
  <c r="O121" i="8"/>
  <c r="BS123" i="8"/>
  <c r="BZ123" i="8" s="1"/>
  <c r="BO123" i="8"/>
  <c r="BK123" i="8"/>
  <c r="BL123" i="8"/>
  <c r="BI123" i="8"/>
  <c r="BJ123" i="8"/>
  <c r="BG123" i="8"/>
  <c r="BH123" i="8"/>
  <c r="BF123" i="8"/>
  <c r="AP123" i="5"/>
  <c r="AN123" i="5"/>
  <c r="AC123" i="10"/>
  <c r="X123" i="10" s="1"/>
  <c r="AO123" i="5"/>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K128" i="11"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B124" i="8"/>
  <c r="BM124" i="8" s="1"/>
  <c r="AW124" i="5"/>
  <c r="BT124" i="5"/>
  <c r="AV124" i="5"/>
  <c r="BR124" i="8"/>
  <c r="BU124" i="8" s="1"/>
  <c r="A124" i="11"/>
  <c r="N124" i="11" s="1"/>
  <c r="DA124" i="8"/>
  <c r="DB124" i="8" s="1"/>
  <c r="AI124" i="5"/>
  <c r="BE124" i="8"/>
  <c r="BN124" i="8" s="1"/>
  <c r="CF124" i="8"/>
  <c r="B124" i="9"/>
  <c r="W124" i="9" s="1"/>
  <c r="BD124" i="8"/>
  <c r="BP124" i="8" s="1"/>
  <c r="W124" i="8"/>
  <c r="AJ124" i="5"/>
  <c r="A124" i="10"/>
  <c r="AA124" i="10" s="1"/>
  <c r="CL121" i="8"/>
  <c r="CY121" i="8" s="1"/>
  <c r="G121" i="1" s="1"/>
  <c r="M121" i="8" s="1"/>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Q122" i="8" s="1"/>
  <c r="CR122" i="8" s="1"/>
  <c r="CB129" i="8"/>
  <c r="N123" i="7"/>
  <c r="AF135" i="9"/>
  <c r="AQ122" i="5"/>
  <c r="CK122" i="8"/>
  <c r="B122" i="14"/>
  <c r="AI122" i="7"/>
  <c r="C125" i="5"/>
  <c r="F125" i="5" s="1"/>
  <c r="V125" i="2"/>
  <c r="Q123" i="7"/>
  <c r="AE123" i="7"/>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V126" i="2"/>
  <c r="AC125" i="1"/>
  <c r="DA125" i="5"/>
  <c r="DG125" i="5" s="1" a="1"/>
  <c r="DG125" i="5" s="1"/>
  <c r="AE135" i="9"/>
  <c r="AI135" i="9"/>
  <c r="N111" i="1"/>
  <c r="S128" i="2"/>
  <c r="N129" i="2"/>
  <c r="R129" i="2"/>
  <c r="Q128" i="2"/>
  <c r="J130" i="10"/>
  <c r="M129" i="2"/>
  <c r="O130" i="2"/>
  <c r="P130" i="2"/>
  <c r="AG124" i="7" l="1"/>
  <c r="AI124" i="7" s="1"/>
  <c r="AF124" i="7"/>
  <c r="AG123" i="7"/>
  <c r="AF123" i="7"/>
  <c r="O133" i="1"/>
  <c r="BY123" i="8"/>
  <c r="CQ123" i="8" s="1"/>
  <c r="CR123" i="8" s="1"/>
  <c r="BO124" i="8"/>
  <c r="BK124" i="8"/>
  <c r="BL124" i="8"/>
  <c r="BI124" i="8"/>
  <c r="BJ124" i="8"/>
  <c r="BG124" i="8"/>
  <c r="BH124" i="8"/>
  <c r="BF124" i="8"/>
  <c r="AP124" i="5"/>
  <c r="AC124" i="10"/>
  <c r="X124" i="10" s="1"/>
  <c r="AO124" i="5"/>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AK129" i="11"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CJ124" i="8" s="1"/>
  <c r="CN124" i="8" s="1"/>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O122" i="8"/>
  <c r="CF125" i="8"/>
  <c r="CB130" i="8"/>
  <c r="BR125" i="8"/>
  <c r="BE125" i="8"/>
  <c r="BN125" i="8" s="1"/>
  <c r="AI125" i="5"/>
  <c r="BD125" i="8"/>
  <c r="BP125" i="8" s="1"/>
  <c r="AF136" i="9"/>
  <c r="AB125" i="8"/>
  <c r="BM125" i="8" s="1"/>
  <c r="B125" i="9"/>
  <c r="W125" i="9" s="1"/>
  <c r="AW125" i="5"/>
  <c r="E125" i="1"/>
  <c r="AJ125" i="5"/>
  <c r="B125" i="7"/>
  <c r="W125" i="8"/>
  <c r="BT125" i="5"/>
  <c r="AQ123" i="5"/>
  <c r="O123" i="8"/>
  <c r="AV125" i="5"/>
  <c r="A125" i="11"/>
  <c r="A125" i="10"/>
  <c r="AA125" i="10" s="1"/>
  <c r="CU123" i="8"/>
  <c r="CZ127" i="5"/>
  <c r="CK123" i="8"/>
  <c r="J126" i="2"/>
  <c r="C126" i="5"/>
  <c r="F126" i="5" s="1"/>
  <c r="B123" i="14"/>
  <c r="AI123" i="7"/>
  <c r="AR123" i="5"/>
  <c r="V127" i="2"/>
  <c r="AC126" i="1"/>
  <c r="DA126" i="5"/>
  <c r="DG126" i="5" s="1" a="1"/>
  <c r="DG126" i="5" s="1"/>
  <c r="AB127" i="1"/>
  <c r="DI127" i="5"/>
  <c r="AE136" i="9"/>
  <c r="AI136" i="9"/>
  <c r="N112" i="1"/>
  <c r="S129" i="2"/>
  <c r="N130" i="2"/>
  <c r="R130" i="2"/>
  <c r="Q129" i="2"/>
  <c r="M130" i="2"/>
  <c r="O131" i="2"/>
  <c r="J131" i="10"/>
  <c r="P131" i="2"/>
  <c r="O134" i="1" l="1"/>
  <c r="AP125" i="5"/>
  <c r="BS125" i="8"/>
  <c r="BZ125" i="8" s="1"/>
  <c r="BO125" i="8"/>
  <c r="BK125" i="8"/>
  <c r="BL125" i="8"/>
  <c r="BI125" i="8"/>
  <c r="BJ125" i="8"/>
  <c r="BG125" i="8"/>
  <c r="BH125" i="8"/>
  <c r="BF125" i="8"/>
  <c r="AC125" i="10"/>
  <c r="X125" i="10" s="1"/>
  <c r="AO125" i="5"/>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CL124" i="8"/>
  <c r="D126" i="9"/>
  <c r="DA126" i="8"/>
  <c r="DB126" i="8" s="1"/>
  <c r="CF126" i="8"/>
  <c r="CB131" i="8"/>
  <c r="BR126" i="8"/>
  <c r="N125" i="7"/>
  <c r="BD126" i="8"/>
  <c r="BP126" i="8" s="1"/>
  <c r="BE126" i="8"/>
  <c r="BN126" i="8" s="1"/>
  <c r="Q125" i="7"/>
  <c r="AE125" i="7"/>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W126" i="5"/>
  <c r="A126" i="11"/>
  <c r="AB126" i="8"/>
  <c r="BM126" i="8" s="1"/>
  <c r="BT126" i="5"/>
  <c r="A126" i="10"/>
  <c r="AA126" i="10" s="1"/>
  <c r="B126" i="7"/>
  <c r="E126" i="1"/>
  <c r="B126" i="9"/>
  <c r="W126" i="9" s="1"/>
  <c r="AV126" i="5"/>
  <c r="W126" i="8"/>
  <c r="AJ126" i="5"/>
  <c r="AI126" i="5"/>
  <c r="J127" i="2"/>
  <c r="C127" i="5"/>
  <c r="F127" i="5" s="1"/>
  <c r="CZ128" i="5"/>
  <c r="AB128" i="1"/>
  <c r="DI128" i="5"/>
  <c r="J128" i="2"/>
  <c r="AC127" i="1"/>
  <c r="DA127" i="5"/>
  <c r="DG127" i="5" s="1" a="1"/>
  <c r="DG127" i="5" s="1"/>
  <c r="N113" i="1"/>
  <c r="S130" i="2"/>
  <c r="N131" i="2"/>
  <c r="R131" i="2"/>
  <c r="Q130" i="2"/>
  <c r="J132" i="10"/>
  <c r="P132" i="2"/>
  <c r="O132" i="2"/>
  <c r="M131" i="2"/>
  <c r="AG125" i="7" l="1"/>
  <c r="AF125" i="7"/>
  <c r="O135" i="1"/>
  <c r="BY125" i="8"/>
  <c r="CQ125" i="8" s="1"/>
  <c r="CR125" i="8" s="1"/>
  <c r="BO126" i="8"/>
  <c r="BK126" i="8"/>
  <c r="BL126" i="8"/>
  <c r="BI126" i="8"/>
  <c r="BJ126" i="8"/>
  <c r="BG126" i="8"/>
  <c r="BH126" i="8"/>
  <c r="BF126" i="8"/>
  <c r="AP126" i="5"/>
  <c r="AC126" i="10"/>
  <c r="X126" i="10" s="1"/>
  <c r="AO126" i="5"/>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V128" i="2"/>
  <c r="B125" i="14"/>
  <c r="AI125" i="7"/>
  <c r="CK125" i="8"/>
  <c r="CU125" i="8"/>
  <c r="Q126" i="7"/>
  <c r="AE126" i="7"/>
  <c r="C128" i="5"/>
  <c r="F128" i="5" s="1"/>
  <c r="AW127" i="5"/>
  <c r="AB127" i="8"/>
  <c r="BM127" i="8" s="1"/>
  <c r="BT127" i="5"/>
  <c r="A127" i="10"/>
  <c r="AA127" i="10" s="1"/>
  <c r="B127" i="7"/>
  <c r="AV127" i="5"/>
  <c r="W127" i="8"/>
  <c r="E127" i="1"/>
  <c r="AJ127" i="5"/>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V129" i="2"/>
  <c r="AC128" i="1"/>
  <c r="DA128" i="5"/>
  <c r="DG128" i="5" s="1" a="1"/>
  <c r="DG128" i="5" s="1"/>
  <c r="AB129" i="1"/>
  <c r="DI129" i="5"/>
  <c r="N114" i="1"/>
  <c r="S131" i="2"/>
  <c r="N132" i="2"/>
  <c r="R132" i="2"/>
  <c r="Q131" i="2"/>
  <c r="P133" i="2"/>
  <c r="J133" i="10"/>
  <c r="O133" i="2"/>
  <c r="M132" i="2"/>
  <c r="AG126" i="7" l="1"/>
  <c r="AF126" i="7"/>
  <c r="O136" i="1"/>
  <c r="O125" i="8"/>
  <c r="BS127" i="8"/>
  <c r="BY127" i="8" s="1"/>
  <c r="BO127" i="8"/>
  <c r="BK127" i="8"/>
  <c r="BL127" i="8"/>
  <c r="BI127" i="8"/>
  <c r="BJ127" i="8"/>
  <c r="BG127" i="8"/>
  <c r="BH127" i="8"/>
  <c r="BF127" i="8"/>
  <c r="AN127" i="5"/>
  <c r="AP127" i="5"/>
  <c r="AC127" i="10"/>
  <c r="X127" i="10" s="1"/>
  <c r="AO127" i="5"/>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CQ126" i="8" s="1"/>
  <c r="CR126" i="8" s="1"/>
  <c r="DA128" i="8"/>
  <c r="DB128" i="8" s="1"/>
  <c r="CF128" i="8"/>
  <c r="CB133" i="8"/>
  <c r="BR128" i="8"/>
  <c r="N127" i="7"/>
  <c r="BD128" i="8"/>
  <c r="BP128" i="8" s="1"/>
  <c r="BE128" i="8"/>
  <c r="BN128" i="8" s="1"/>
  <c r="CK126" i="8"/>
  <c r="J129" i="2"/>
  <c r="CU126" i="8"/>
  <c r="C129" i="5"/>
  <c r="F129" i="5" s="1"/>
  <c r="AA126" i="11"/>
  <c r="AK126" i="1" s="1"/>
  <c r="Z126" i="11"/>
  <c r="AD126" i="11"/>
  <c r="AI126" i="1" s="1"/>
  <c r="AB126" i="11"/>
  <c r="P126" i="8" s="1"/>
  <c r="AC126" i="11"/>
  <c r="T126" i="8" s="1"/>
  <c r="Y126" i="11"/>
  <c r="AH126" i="1" s="1"/>
  <c r="N127" i="11"/>
  <c r="CZ130" i="5"/>
  <c r="AW128" i="5"/>
  <c r="AI128" i="5"/>
  <c r="A128" i="11"/>
  <c r="AB128" i="8"/>
  <c r="BM128" i="8" s="1"/>
  <c r="BT128" i="5"/>
  <c r="A128" i="10"/>
  <c r="AA128" i="10" s="1"/>
  <c r="B128" i="7"/>
  <c r="AV128" i="5"/>
  <c r="W128" i="8"/>
  <c r="E128" i="1"/>
  <c r="AJ128" i="5"/>
  <c r="B128" i="9"/>
  <c r="W128" i="9" s="1"/>
  <c r="CD127" i="8"/>
  <c r="CT127" i="8" s="1"/>
  <c r="B126" i="14"/>
  <c r="AI126" i="7"/>
  <c r="AQ126" i="5"/>
  <c r="BT127" i="8"/>
  <c r="BU127" i="8"/>
  <c r="BV127" i="8"/>
  <c r="BX127" i="8"/>
  <c r="CO127" i="8" s="1"/>
  <c r="CP127" i="8" s="1"/>
  <c r="CC127" i="8"/>
  <c r="CS127" i="8" s="1"/>
  <c r="BW127" i="8"/>
  <c r="CM127" i="8" s="1"/>
  <c r="AE127" i="7"/>
  <c r="Q127" i="7"/>
  <c r="AR126" i="5"/>
  <c r="AB130" i="1"/>
  <c r="DI130" i="5"/>
  <c r="V130" i="2"/>
  <c r="AC129" i="1"/>
  <c r="DA129" i="5"/>
  <c r="DG129" i="5" s="1" a="1"/>
  <c r="DG129" i="5" s="1"/>
  <c r="N115" i="1"/>
  <c r="S132" i="2"/>
  <c r="N133" i="2"/>
  <c r="R133" i="2"/>
  <c r="Q132" i="2"/>
  <c r="M133" i="2"/>
  <c r="J134" i="10"/>
  <c r="P134" i="2"/>
  <c r="O134" i="2"/>
  <c r="AG127" i="7" l="1"/>
  <c r="AF127" i="7"/>
  <c r="AP128" i="5"/>
  <c r="BZ127" i="8"/>
  <c r="CQ127" i="8" s="1"/>
  <c r="CR127" i="8" s="1"/>
  <c r="AN128" i="5"/>
  <c r="BS128" i="8"/>
  <c r="BY128" i="8" s="1"/>
  <c r="BO128" i="8"/>
  <c r="BK128" i="8"/>
  <c r="BL128" i="8"/>
  <c r="BI128" i="8"/>
  <c r="BJ128" i="8"/>
  <c r="BG128" i="8"/>
  <c r="BH128" i="8"/>
  <c r="BF128" i="8"/>
  <c r="AC128" i="10"/>
  <c r="X128" i="10" s="1"/>
  <c r="AO128" i="5"/>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O126" i="8"/>
  <c r="DA129" i="8"/>
  <c r="DB129" i="8" s="1"/>
  <c r="CB134" i="8"/>
  <c r="CF129" i="8"/>
  <c r="BR129" i="8"/>
  <c r="N128" i="7"/>
  <c r="BD129" i="8"/>
  <c r="BP129" i="8" s="1"/>
  <c r="BE129" i="8"/>
  <c r="BN129" i="8" s="1"/>
  <c r="CU127" i="8"/>
  <c r="O127" i="8"/>
  <c r="CK127" i="8"/>
  <c r="J130" i="2"/>
  <c r="B127" i="14"/>
  <c r="AI127" i="7"/>
  <c r="CZ131" i="5"/>
  <c r="AB127" i="11"/>
  <c r="P127" i="8" s="1"/>
  <c r="N128" i="11"/>
  <c r="AA127" i="11"/>
  <c r="AK127" i="1" s="1"/>
  <c r="Z127" i="11"/>
  <c r="AD127" i="11"/>
  <c r="AI127" i="1" s="1"/>
  <c r="AC127" i="11"/>
  <c r="T127" i="8" s="1"/>
  <c r="Y127" i="11"/>
  <c r="AH127" i="1" s="1"/>
  <c r="C130" i="5"/>
  <c r="F130" i="5" s="1"/>
  <c r="AW129" i="5"/>
  <c r="W129" i="8"/>
  <c r="AV129" i="5"/>
  <c r="B129" i="9"/>
  <c r="W129" i="9" s="1"/>
  <c r="A129" i="10"/>
  <c r="AA129" i="10" s="1"/>
  <c r="AJ129" i="5"/>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R127" i="5"/>
  <c r="V131" i="2"/>
  <c r="AC130" i="1"/>
  <c r="DA130" i="5"/>
  <c r="DG130" i="5" s="1" a="1"/>
  <c r="DG130" i="5" s="1"/>
  <c r="AB131" i="1"/>
  <c r="DI131" i="5"/>
  <c r="N116" i="1"/>
  <c r="S133" i="2"/>
  <c r="N134" i="2"/>
  <c r="R134" i="2"/>
  <c r="Q133" i="2"/>
  <c r="O135" i="2"/>
  <c r="P135" i="2"/>
  <c r="J135" i="10"/>
  <c r="M134" i="2"/>
  <c r="AG128" i="7" l="1"/>
  <c r="AF128" i="7"/>
  <c r="BZ128" i="8"/>
  <c r="CQ128" i="8" s="1"/>
  <c r="CR128" i="8" s="1"/>
  <c r="AP129" i="5"/>
  <c r="BS129" i="8"/>
  <c r="BZ129" i="8" s="1"/>
  <c r="BO129" i="8"/>
  <c r="BK129" i="8"/>
  <c r="BL129" i="8"/>
  <c r="BI129" i="8"/>
  <c r="BJ129" i="8"/>
  <c r="BG129" i="8"/>
  <c r="BH129" i="8"/>
  <c r="BF129" i="8"/>
  <c r="AC129" i="10"/>
  <c r="X129" i="10" s="1"/>
  <c r="AO129" i="5"/>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AS133" i="5" s="1"/>
  <c r="AW130" i="5"/>
  <c r="W130" i="8"/>
  <c r="AV130" i="5"/>
  <c r="B130" i="9"/>
  <c r="W130" i="9" s="1"/>
  <c r="AJ130" i="5"/>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CD129" i="8"/>
  <c r="CT129" i="8" s="1"/>
  <c r="B128" i="14"/>
  <c r="AI128" i="7"/>
  <c r="AQ128" i="5"/>
  <c r="CK128" i="8"/>
  <c r="AE129" i="7"/>
  <c r="Q129" i="7"/>
  <c r="AR128" i="5"/>
  <c r="O128" i="8"/>
  <c r="AB132" i="1"/>
  <c r="DI132" i="5"/>
  <c r="AC131" i="1"/>
  <c r="DA131" i="5"/>
  <c r="DG131" i="5" s="1" a="1"/>
  <c r="DG131" i="5" s="1"/>
  <c r="N117" i="1"/>
  <c r="S134" i="2"/>
  <c r="N135" i="2"/>
  <c r="R135" i="2"/>
  <c r="Q134" i="2"/>
  <c r="M135" i="2"/>
  <c r="O136" i="2"/>
  <c r="J136" i="10"/>
  <c r="P136" i="2"/>
  <c r="AG129" i="7" l="1"/>
  <c r="AF129" i="7"/>
  <c r="BY129" i="8"/>
  <c r="CQ129" i="8" s="1"/>
  <c r="CR129" i="8" s="1"/>
  <c r="AP130" i="5"/>
  <c r="BS130" i="8"/>
  <c r="BY130" i="8" s="1"/>
  <c r="BO130" i="8"/>
  <c r="BK130" i="8"/>
  <c r="BL130" i="8"/>
  <c r="BI130" i="8"/>
  <c r="BJ130" i="8"/>
  <c r="BG130" i="8"/>
  <c r="BH130" i="8"/>
  <c r="BF130" i="8"/>
  <c r="AC130" i="10"/>
  <c r="X130" i="10" s="1"/>
  <c r="AO130" i="5"/>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V132" i="2"/>
  <c r="D132" i="7"/>
  <c r="B132" i="10"/>
  <c r="G133" i="5"/>
  <c r="AS134" i="5" s="1"/>
  <c r="B132" i="5"/>
  <c r="AR129" i="5"/>
  <c r="CK129" i="8"/>
  <c r="AQ129" i="5"/>
  <c r="CD130" i="8"/>
  <c r="CT130" i="8" s="1"/>
  <c r="B129" i="14"/>
  <c r="AI129" i="7"/>
  <c r="AE130" i="7"/>
  <c r="Q130" i="7"/>
  <c r="J132" i="2"/>
  <c r="N130" i="11"/>
  <c r="AD129" i="11"/>
  <c r="AI129" i="1" s="1"/>
  <c r="Z129" i="11"/>
  <c r="AB129" i="11"/>
  <c r="P129" i="8" s="1"/>
  <c r="AA129" i="11"/>
  <c r="AK129" i="1" s="1"/>
  <c r="AC129" i="11"/>
  <c r="T129" i="8" s="1"/>
  <c r="Y129" i="11"/>
  <c r="AH129" i="1" s="1"/>
  <c r="AW131" i="5"/>
  <c r="AB131" i="8"/>
  <c r="BM131" i="8" s="1"/>
  <c r="B131" i="9"/>
  <c r="W131" i="9" s="1"/>
  <c r="E131" i="1"/>
  <c r="AV131" i="5"/>
  <c r="A131" i="10"/>
  <c r="AA131" i="10" s="1"/>
  <c r="BT131" i="5"/>
  <c r="AJ131" i="5"/>
  <c r="W131" i="8"/>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G130" i="7" l="1"/>
  <c r="AF130" i="7"/>
  <c r="O129" i="8"/>
  <c r="AP131" i="5"/>
  <c r="DG132" i="5" a="1"/>
  <c r="DG132" i="5" s="1"/>
  <c r="BZ130" i="8"/>
  <c r="CQ130" i="8" s="1"/>
  <c r="CR130" i="8" s="1"/>
  <c r="BO131" i="8"/>
  <c r="BK131" i="8"/>
  <c r="BL131" i="8"/>
  <c r="BI131" i="8"/>
  <c r="BJ131" i="8"/>
  <c r="BG131" i="8"/>
  <c r="BH131" i="8"/>
  <c r="BF131" i="8"/>
  <c r="AC131" i="10"/>
  <c r="X131" i="10" s="1"/>
  <c r="AO131" i="5"/>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Y129" i="8" s="1"/>
  <c r="G129" i="1" s="1"/>
  <c r="M129" i="8" s="1"/>
  <c r="CJ130" i="8"/>
  <c r="CN130" i="8" s="1"/>
  <c r="D132" i="9"/>
  <c r="BS131" i="8"/>
  <c r="BY131" i="8" s="1"/>
  <c r="N131" i="7"/>
  <c r="CZ133" i="5"/>
  <c r="F132" i="5"/>
  <c r="D133" i="7"/>
  <c r="B133" i="10"/>
  <c r="G134" i="5"/>
  <c r="AS135" i="5" s="1"/>
  <c r="B133" i="5"/>
  <c r="AQ130" i="5"/>
  <c r="CU130" i="8"/>
  <c r="AR130" i="5"/>
  <c r="CK130" i="8"/>
  <c r="C133" i="5"/>
  <c r="AE131" i="7"/>
  <c r="Q131" i="7"/>
  <c r="B130" i="14"/>
  <c r="AI130" i="7"/>
  <c r="V133" i="2"/>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O130" i="8"/>
  <c r="CD131" i="8"/>
  <c r="CT131" i="8" s="1"/>
  <c r="AB134" i="1"/>
  <c r="DI134" i="5"/>
  <c r="AC133" i="1"/>
  <c r="DA133" i="5"/>
  <c r="N119" i="1"/>
  <c r="AG131" i="7" l="1"/>
  <c r="AF131" i="7"/>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AW132" i="5"/>
  <c r="BD132" i="8"/>
  <c r="BP132" i="8" s="1"/>
  <c r="V134" i="2"/>
  <c r="B132" i="7"/>
  <c r="Q132" i="7" s="1"/>
  <c r="BT132" i="5"/>
  <c r="A132" i="11"/>
  <c r="AD131" i="11" s="1"/>
  <c r="AI131" i="1" s="1"/>
  <c r="AV132" i="5"/>
  <c r="AI132" i="5"/>
  <c r="W132" i="8"/>
  <c r="B132" i="9"/>
  <c r="W132" i="9" s="1"/>
  <c r="A132" i="10"/>
  <c r="AA132" i="10" s="1"/>
  <c r="AJ132" i="5"/>
  <c r="AB132" i="8"/>
  <c r="BM132" i="8" s="1"/>
  <c r="E132" i="1"/>
  <c r="F133" i="5"/>
  <c r="D134" i="7"/>
  <c r="B134" i="10"/>
  <c r="G135" i="5"/>
  <c r="AS136" i="5" s="1"/>
  <c r="B134" i="5"/>
  <c r="CZ134" i="5"/>
  <c r="CK131" i="8"/>
  <c r="AQ131" i="5"/>
  <c r="AR131" i="5"/>
  <c r="J134" i="2"/>
  <c r="C134" i="5"/>
  <c r="B131" i="14"/>
  <c r="AI131" i="7"/>
  <c r="CU131" i="8"/>
  <c r="O131" i="8"/>
  <c r="J135" i="2"/>
  <c r="AC134" i="1"/>
  <c r="DA134" i="5"/>
  <c r="AB135" i="1"/>
  <c r="DI135" i="5"/>
  <c r="N120" i="1"/>
  <c r="W136" i="1"/>
  <c r="AP132" i="5" l="1"/>
  <c r="DG134" i="5" a="1"/>
  <c r="DG134" i="5" s="1"/>
  <c r="BS132" i="8"/>
  <c r="BZ132" i="8" s="1"/>
  <c r="BO132" i="8"/>
  <c r="BK132" i="8"/>
  <c r="BL132" i="8"/>
  <c r="BI132" i="8"/>
  <c r="BJ132" i="8"/>
  <c r="BG132" i="8"/>
  <c r="BH132" i="8"/>
  <c r="BF132" i="8"/>
  <c r="AC132" i="10"/>
  <c r="X132" i="10" s="1"/>
  <c r="AO132" i="5"/>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AV133" i="5"/>
  <c r="BD133" i="8"/>
  <c r="BP133" i="8" s="1"/>
  <c r="CZ135" i="5"/>
  <c r="AA131" i="11"/>
  <c r="AK131" i="1" s="1"/>
  <c r="Y131" i="11"/>
  <c r="AH131" i="1" s="1"/>
  <c r="AC131" i="11"/>
  <c r="T131" i="8" s="1"/>
  <c r="Z131" i="11"/>
  <c r="N132" i="11"/>
  <c r="AB131" i="11"/>
  <c r="P131" i="8" s="1"/>
  <c r="A133" i="11"/>
  <c r="N133" i="11" s="1"/>
  <c r="B133" i="9"/>
  <c r="W133" i="9" s="1"/>
  <c r="AI133" i="5"/>
  <c r="AJ133" i="5"/>
  <c r="AE132" i="7"/>
  <c r="BT132" i="8"/>
  <c r="BT133" i="5"/>
  <c r="E133" i="1"/>
  <c r="BW132" i="8"/>
  <c r="CM132" i="8" s="1"/>
  <c r="BU132" i="8"/>
  <c r="BV132" i="8"/>
  <c r="CC132" i="8"/>
  <c r="CS132" i="8" s="1"/>
  <c r="W133" i="8"/>
  <c r="AB133" i="8"/>
  <c r="BM133" i="8" s="1"/>
  <c r="A133" i="10"/>
  <c r="AA133" i="10" s="1"/>
  <c r="AW133" i="5"/>
  <c r="B133" i="7"/>
  <c r="AE133" i="7" s="1"/>
  <c r="F134" i="5"/>
  <c r="B135" i="10"/>
  <c r="D135" i="7"/>
  <c r="G136" i="5"/>
  <c r="CZ136" i="5" s="1"/>
  <c r="B135" i="5"/>
  <c r="V135" i="2"/>
  <c r="C135" i="5"/>
  <c r="AB136" i="1"/>
  <c r="DI136" i="5"/>
  <c r="J136" i="2"/>
  <c r="AC135" i="1"/>
  <c r="DA135" i="5"/>
  <c r="N121" i="1"/>
  <c r="AG133" i="7" l="1"/>
  <c r="AF133" i="7"/>
  <c r="AG132" i="7"/>
  <c r="AI132" i="7" s="1"/>
  <c r="AF132" i="7"/>
  <c r="BY132" i="8"/>
  <c r="CQ132" i="8" s="1"/>
  <c r="CR132" i="8" s="1"/>
  <c r="DG135" i="5" a="1"/>
  <c r="DG135" i="5" s="1"/>
  <c r="AP133" i="5"/>
  <c r="BS133" i="8"/>
  <c r="BZ133" i="8" s="1"/>
  <c r="BO133" i="8"/>
  <c r="BK133" i="8"/>
  <c r="BL133" i="8"/>
  <c r="BI133" i="8"/>
  <c r="BJ133" i="8"/>
  <c r="BG133" i="8"/>
  <c r="BH133" i="8"/>
  <c r="BF133" i="8"/>
  <c r="AC133" i="10"/>
  <c r="X133" i="10" s="1"/>
  <c r="AO133" i="5"/>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AV134" i="5"/>
  <c r="E134" i="1"/>
  <c r="AJ134" i="5"/>
  <c r="CK132" i="8"/>
  <c r="AB134" i="8"/>
  <c r="BM134" i="8" s="1"/>
  <c r="Q133" i="7"/>
  <c r="AW134" i="5"/>
  <c r="F135" i="5"/>
  <c r="AI134" i="5"/>
  <c r="BT134" i="5"/>
  <c r="B134" i="7"/>
  <c r="Q134" i="7" s="1"/>
  <c r="W134" i="8"/>
  <c r="B134" i="9"/>
  <c r="W134" i="9" s="1"/>
  <c r="B136" i="5"/>
  <c r="B136" i="10"/>
  <c r="D136" i="7"/>
  <c r="V136" i="2"/>
  <c r="C136" i="5"/>
  <c r="B133" i="14"/>
  <c r="AI133" i="7"/>
  <c r="AC136" i="1"/>
  <c r="DA136" i="5"/>
  <c r="DG136" i="5" s="1" a="1"/>
  <c r="DG136" i="5" s="1"/>
  <c r="N122" i="1"/>
  <c r="O132" i="8" l="1"/>
  <c r="AP134" i="5"/>
  <c r="AN134" i="5"/>
  <c r="BY133" i="8"/>
  <c r="CQ133" i="8" s="1"/>
  <c r="CR133" i="8" s="1"/>
  <c r="BS134" i="8"/>
  <c r="BY134" i="8" s="1"/>
  <c r="BO134" i="8"/>
  <c r="BK134" i="8"/>
  <c r="BL134" i="8"/>
  <c r="BI134" i="8"/>
  <c r="BJ134" i="8"/>
  <c r="BG134" i="8"/>
  <c r="BH134" i="8"/>
  <c r="BF134" i="8"/>
  <c r="AC134" i="10"/>
  <c r="X134" i="10" s="1"/>
  <c r="AO134" i="5"/>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W135" i="9" s="1"/>
  <c r="BT134" i="8"/>
  <c r="CC134" i="8"/>
  <c r="CS134" i="8" s="1"/>
  <c r="W135" i="8"/>
  <c r="B135" i="7"/>
  <c r="Q135" i="7" s="1"/>
  <c r="AJ135" i="5"/>
  <c r="A135" i="11"/>
  <c r="Y134" i="11" s="1"/>
  <c r="AH134" i="1" s="1"/>
  <c r="BT135" i="5"/>
  <c r="A135" i="10"/>
  <c r="AA135" i="10" s="1"/>
  <c r="AW135" i="5"/>
  <c r="AI135" i="5"/>
  <c r="AE134" i="7"/>
  <c r="CD134" i="8"/>
  <c r="CT134" i="8" s="1"/>
  <c r="AV135" i="5"/>
  <c r="F136" i="5"/>
  <c r="BZ134" i="8"/>
  <c r="AA1269" i="14"/>
  <c r="AA1270" i="14" s="1"/>
  <c r="N123" i="1"/>
  <c r="AG134" i="7" l="1"/>
  <c r="AF134" i="7"/>
  <c r="O133" i="8"/>
  <c r="BS135" i="8"/>
  <c r="BY135" i="8" s="1"/>
  <c r="BO135" i="8"/>
  <c r="BK135" i="8"/>
  <c r="BL135" i="8"/>
  <c r="BI135" i="8"/>
  <c r="BJ135" i="8"/>
  <c r="BG135" i="8"/>
  <c r="BH135" i="8"/>
  <c r="BF135" i="8"/>
  <c r="AP135" i="5"/>
  <c r="AC135" i="10"/>
  <c r="X135" i="10" s="1"/>
  <c r="AO135" i="5"/>
  <c r="AM135" i="5"/>
  <c r="AN135" i="5"/>
  <c r="CL133" i="8"/>
  <c r="CY133" i="8" s="1"/>
  <c r="G133" i="1" s="1"/>
  <c r="M133" i="8" s="1"/>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E136" i="1"/>
  <c r="CK134" i="8"/>
  <c r="CU134" i="8"/>
  <c r="AC134" i="11"/>
  <c r="T134" i="8" s="1"/>
  <c r="N135" i="11"/>
  <c r="AB134" i="11"/>
  <c r="P134" i="8" s="1"/>
  <c r="AA134" i="11"/>
  <c r="AK134" i="1" s="1"/>
  <c r="O134" i="8"/>
  <c r="AI134" i="7"/>
  <c r="Z134" i="11"/>
  <c r="AD134" i="11"/>
  <c r="AI134" i="1" s="1"/>
  <c r="CD135" i="8"/>
  <c r="CT135" i="8" s="1"/>
  <c r="AJ136" i="5"/>
  <c r="A136" i="10"/>
  <c r="AA136" i="10" s="1"/>
  <c r="AB136" i="8"/>
  <c r="BM136" i="8" s="1"/>
  <c r="W136" i="8"/>
  <c r="AW136" i="5"/>
  <c r="A136" i="11"/>
  <c r="AA135" i="11" s="1"/>
  <c r="AK135" i="1" s="1"/>
  <c r="AV136" i="5"/>
  <c r="AI136" i="5"/>
  <c r="B136" i="7"/>
  <c r="AE136" i="7" s="1"/>
  <c r="BT136" i="5"/>
  <c r="AB136" i="11" s="1"/>
  <c r="P136" i="8" s="1"/>
  <c r="B136" i="9"/>
  <c r="W136" i="9" s="1"/>
  <c r="CQ134" i="8"/>
  <c r="CR134" i="8"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G136" i="7" l="1"/>
  <c r="AF136" i="7"/>
  <c r="AG135" i="7"/>
  <c r="AF135" i="7"/>
  <c r="BZ135" i="8"/>
  <c r="CQ135" i="8" s="1"/>
  <c r="CR135" i="8" s="1"/>
  <c r="AP136" i="5"/>
  <c r="BS136" i="8"/>
  <c r="BY136" i="8" s="1"/>
  <c r="BO136" i="8"/>
  <c r="BK136" i="8"/>
  <c r="BL136" i="8"/>
  <c r="BI136" i="8"/>
  <c r="BJ136" i="8"/>
  <c r="BG136" i="8"/>
  <c r="BH136" i="8"/>
  <c r="BF136" i="8"/>
  <c r="AC136" i="10"/>
  <c r="X136" i="10" s="1"/>
  <c r="AO136" i="5"/>
  <c r="AM136" i="5"/>
  <c r="AN136" i="5"/>
  <c r="BT136" i="8"/>
  <c r="CJ136" i="8" s="1"/>
  <c r="CN136" i="8" s="1"/>
  <c r="CL134" i="8"/>
  <c r="CY134" i="8" s="1"/>
  <c r="G134" i="1" s="1"/>
  <c r="M134" i="8" s="1"/>
  <c r="CJ135" i="8"/>
  <c r="CN135" i="8" s="1"/>
  <c r="CK135" i="8"/>
  <c r="CC136" i="8"/>
  <c r="CS136" i="8" s="1"/>
  <c r="BX136" i="8"/>
  <c r="CO136" i="8" s="1"/>
  <c r="CP136" i="8" s="1"/>
  <c r="BU136" i="8"/>
  <c r="CK136" i="8" s="1"/>
  <c r="CU135" i="8"/>
  <c r="BW136" i="8"/>
  <c r="CM136" i="8" s="1"/>
  <c r="N136" i="7"/>
  <c r="AI135" i="7"/>
  <c r="B135" i="14"/>
  <c r="AR135" i="5"/>
  <c r="AQ135" i="5"/>
  <c r="O135" i="8"/>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136" i="7"/>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BZ136" i="8" l="1"/>
  <c r="CQ136" i="8" s="1"/>
  <c r="CR136" i="8" s="1"/>
  <c r="I62" i="4"/>
  <c r="CL136" i="8"/>
  <c r="CL135" i="8"/>
  <c r="CY135" i="8" s="1"/>
  <c r="G135" i="1" s="1"/>
  <c r="M135" i="8" s="1"/>
  <c r="CU136" i="8"/>
  <c r="O136" i="8"/>
  <c r="AQ136" i="5"/>
  <c r="AR136" i="5"/>
  <c r="N126" i="1"/>
  <c r="AH122" i="7"/>
  <c r="CY136" i="8" l="1"/>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U6" i="2" s="1"/>
  <c r="AB6" i="7"/>
  <c r="AJ6" i="7" s="1"/>
  <c r="W5" i="2" l="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U10" i="2" s="1"/>
  <c r="AB10" i="7"/>
  <c r="AJ10" i="7" s="1"/>
  <c r="AT10" i="8"/>
  <c r="BL33" i="1"/>
  <c r="V33" i="1"/>
  <c r="K34" i="1" s="1"/>
  <c r="AR34" i="1" s="1"/>
  <c r="C33" i="9"/>
  <c r="W9" i="2" l="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U14" i="2" s="1"/>
  <c r="AT14" i="8"/>
  <c r="BL58" i="1"/>
  <c r="V58" i="1"/>
  <c r="K59" i="1" s="1"/>
  <c r="AR59" i="1" s="1"/>
  <c r="C58" i="9"/>
  <c r="W13" i="2" l="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R15" i="8" s="1"/>
  <c r="S15" i="8" s="1"/>
  <c r="V15" i="8" s="1"/>
  <c r="BL65" i="1"/>
  <c r="C65" i="9"/>
  <c r="V65" i="1"/>
  <c r="K66" i="1" s="1"/>
  <c r="AR66" i="1" s="1"/>
  <c r="I15" i="2" l="1"/>
  <c r="I15" i="11" s="1"/>
  <c r="H15" i="2"/>
  <c r="F15" i="2"/>
  <c r="J15" i="11" s="1"/>
  <c r="P15" i="7" s="1"/>
  <c r="F15" i="1"/>
  <c r="U15" i="8"/>
  <c r="V66" i="1"/>
  <c r="K67" i="1" s="1"/>
  <c r="AR67" i="1" s="1"/>
  <c r="C66" i="9"/>
  <c r="BL66" i="1"/>
  <c r="G15" i="2" l="1"/>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U16" i="2" s="1"/>
  <c r="AT16" i="8"/>
  <c r="AB16" i="7"/>
  <c r="AJ16" i="7" s="1"/>
  <c r="BL70" i="1"/>
  <c r="V70" i="1"/>
  <c r="K71" i="1" s="1"/>
  <c r="AR71" i="1" s="1"/>
  <c r="C70" i="9"/>
  <c r="W15" i="2" l="1"/>
  <c r="C16" i="2" s="1"/>
  <c r="R16" i="8" s="1"/>
  <c r="S16" i="8" s="1"/>
  <c r="V16" i="8" s="1"/>
  <c r="C71" i="9"/>
  <c r="BL71" i="1"/>
  <c r="V71" i="1"/>
  <c r="K72" i="1" s="1"/>
  <c r="AR72" i="1" s="1"/>
  <c r="H16" i="2" l="1"/>
  <c r="F16" i="1"/>
  <c r="I16" i="2"/>
  <c r="O16" i="7" s="1"/>
  <c r="F16" i="2"/>
  <c r="J16" i="11" s="1"/>
  <c r="F16" i="9" s="1"/>
  <c r="U16" i="8"/>
  <c r="C72" i="9"/>
  <c r="BL72" i="1"/>
  <c r="V72" i="1"/>
  <c r="K73" i="1" s="1"/>
  <c r="AR73" i="1" s="1"/>
  <c r="AP16" i="1" l="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s="1"/>
  <c r="W23" i="2" l="1"/>
  <c r="C24" i="2" s="1"/>
  <c r="C115" i="9"/>
  <c r="V115" i="1"/>
  <c r="K116" i="1" s="1"/>
  <c r="AR116" i="1" s="1"/>
  <c r="BL115" i="1"/>
  <c r="R24" i="8" l="1"/>
  <c r="H24" i="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s="1"/>
  <c r="W26" i="2" l="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s="1"/>
  <c r="W27" i="2" l="1"/>
  <c r="C28" i="2" s="1"/>
  <c r="R28" i="8" l="1"/>
  <c r="H28" i="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s="1"/>
  <c r="W28" i="2" l="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s="1"/>
  <c r="W32" i="2" l="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s="1"/>
  <c r="W36" i="2" l="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s="1"/>
  <c r="W39" i="2" l="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U47" i="2" s="1"/>
  <c r="AB47" i="7"/>
  <c r="AJ47" i="7" s="1"/>
  <c r="W46" i="2" l="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H53" i="1" s="1"/>
  <c r="AK53" i="5" s="1"/>
  <c r="O52" i="7"/>
  <c r="S52" i="8"/>
  <c r="V52" i="8" s="1"/>
  <c r="U52" i="8"/>
  <c r="G52" i="2"/>
  <c r="P52" i="7" l="1"/>
  <c r="F52" i="9"/>
  <c r="Z52" i="2"/>
  <c r="Z53" i="8" s="1"/>
  <c r="B53" i="8" s="1"/>
  <c r="C52" i="8"/>
  <c r="BJ53" i="1"/>
  <c r="C53" i="11" l="1"/>
  <c r="AC53" i="7"/>
  <c r="V53" i="10"/>
  <c r="BI53" i="1"/>
  <c r="AN53" i="8"/>
  <c r="Y52" i="2"/>
  <c r="X52" i="2" s="1"/>
  <c r="H53" i="11" l="1"/>
  <c r="AT53" i="8"/>
  <c r="E53" i="2"/>
  <c r="L53" i="2" s="1"/>
  <c r="D53" i="2"/>
  <c r="U53" i="2" s="1"/>
  <c r="AB53" i="7"/>
  <c r="AJ53" i="7" s="1"/>
  <c r="W52" i="2" l="1"/>
  <c r="C53" i="2" s="1"/>
  <c r="R53" i="8" s="1"/>
  <c r="F53" i="1" l="1"/>
  <c r="F53" i="2"/>
  <c r="I53" i="2"/>
  <c r="H53" i="2"/>
  <c r="J53" i="11" l="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s="1"/>
  <c r="W55" i="2" l="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U59" i="2" s="1"/>
  <c r="AB59" i="7"/>
  <c r="AJ59" i="7" s="1"/>
  <c r="W58" i="2" l="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U61" i="2" s="1"/>
  <c r="AB61" i="7"/>
  <c r="AJ61" i="7" s="1"/>
  <c r="W60" i="2" l="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U62" i="2" s="1"/>
  <c r="AB62" i="7"/>
  <c r="AJ62" i="7" s="1"/>
  <c r="W61" i="2" l="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U64" i="2" s="1"/>
  <c r="AB64" i="7"/>
  <c r="AJ64" i="7" s="1"/>
  <c r="M28" i="7"/>
  <c r="W63" i="2" l="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s="1"/>
  <c r="W65" i="2" l="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l="1"/>
  <c r="H72" i="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s="1"/>
  <c r="W73" i="2" l="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U75" i="2" s="1"/>
  <c r="AB75" i="7"/>
  <c r="W74" i="2" l="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s="1"/>
  <c r="W75" i="2" l="1"/>
  <c r="C76" i="2" s="1"/>
  <c r="H41" i="4"/>
  <c r="B41" i="4"/>
  <c r="R76" i="8" l="1"/>
  <c r="S76" i="8" s="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U79" i="2" s="1"/>
  <c r="AT79" i="8"/>
  <c r="W78" i="2" l="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U80" i="2" s="1"/>
  <c r="AB80" i="7"/>
  <c r="AJ80" i="7" s="1"/>
  <c r="W79" i="2" l="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U82" i="2" s="1"/>
  <c r="AB82" i="7"/>
  <c r="AJ82" i="7" s="1"/>
  <c r="W81" i="2" l="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U85" i="2" s="1"/>
  <c r="AT85" i="8"/>
  <c r="W84" i="2" l="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U86" i="2" s="1"/>
  <c r="AB86" i="7"/>
  <c r="AJ86" i="7" s="1"/>
  <c r="W85" i="2" l="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U87" i="2" s="1"/>
  <c r="AT87" i="8"/>
  <c r="W86" i="2" l="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s="1"/>
  <c r="W88" i="2" l="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U90" i="2" s="1"/>
  <c r="AB90" i="7"/>
  <c r="AJ90" i="7" s="1"/>
  <c r="W89" i="2" l="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U91" i="2" s="1"/>
  <c r="AB91" i="7"/>
  <c r="AJ91" i="7" s="1"/>
  <c r="W90" i="2" l="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U93" i="2" s="1"/>
  <c r="AB93" i="7"/>
  <c r="AJ93" i="7" s="1"/>
  <c r="W92" i="2" l="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U98" i="2" s="1"/>
  <c r="AT98" i="8"/>
  <c r="W97" i="2" l="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U100" i="2" s="1"/>
  <c r="AT100" i="8"/>
  <c r="W99" i="2" l="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U105" i="2" s="1"/>
  <c r="AT105" i="8"/>
  <c r="W104" i="2" l="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s="1"/>
  <c r="W106" i="2" l="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s="1"/>
  <c r="W107" i="2" l="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s="1"/>
  <c r="W111" i="2" l="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s="1"/>
  <c r="W114" i="2" l="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U116" i="2" s="1"/>
  <c r="AT116" i="8"/>
  <c r="W115" i="2" l="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U120" i="2" s="1"/>
  <c r="AT120" i="8"/>
  <c r="W119" i="2" l="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s="1"/>
  <c r="W121" i="2" l="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U127" i="2" s="1"/>
  <c r="AB127" i="7"/>
  <c r="AJ127" i="7" s="1"/>
  <c r="W126" i="2" l="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U129" i="2" s="1"/>
  <c r="AT129" i="8"/>
  <c r="W128" i="2" l="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U131" i="2" s="1"/>
  <c r="AT131" i="8"/>
  <c r="W130" i="2" l="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U133" i="2" s="1"/>
  <c r="AT133" i="8"/>
  <c r="W132" i="2" l="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l="1"/>
  <c r="H136" i="2"/>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<sst xmlns="http://schemas.openxmlformats.org/spreadsheetml/2006/main" count="2905" uniqueCount="1114">
  <si>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</si>
  <si>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</si>
  <si>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</si>
  <si>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</si>
  <si>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</si>
  <si>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</si>
  <si>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</si>
  <si>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</si>
  <si>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</si>
  <si>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</si>
  <si>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</si>
  <si>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</si>
  <si>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</si>
  <si>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</si>
  <si>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</si>
  <si>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</si>
  <si>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</si>
  <si>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</si>
  <si>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</si>
  <si>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</si>
  <si>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</si>
  <si>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</si>
  <si>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</si>
  <si>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</si>
  <si>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</si>
  <si>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</si>
  <si>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</si>
  <si>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</si>
  <si>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</si>
  <si>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</si>
  <si>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</si>
  <si>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</si>
  <si>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</si>
  <si>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</si>
  <si>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</si>
  <si>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</si>
  <si>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</si>
  <si>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</si>
  <si>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</si>
  <si>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</si>
  <si>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</si>
  <si>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</si>
  <si>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</si>
  <si>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</si>
  <si>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</si>
  <si>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</si>
  <si>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</si>
  <si>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</si>
  <si>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</si>
  <si>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</si>
  <si>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</si>
  <si>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</si>
  <si>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</si>
  <si>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</si>
  <si>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</si>
  <si>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</si>
  <si>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</si>
  <si>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</si>
  <si>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</si>
  <si>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</si>
  <si>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</si>
  <si>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</si>
  <si>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</si>
  <si>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</si>
  <si>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</si>
  <si>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</si>
  <si>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</si>
  <si>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</si>
  <si>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</si>
  <si>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</si>
  <si>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</si>
  <si>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</si>
  <si>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</si>
  <si>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</si>
  <si>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</si>
  <si>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</si>
  <si>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</si>
  <si>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</si>
  <si>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</si>
  <si>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</si>
  <si>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</si>
  <si>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</si>
  <si>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</si>
  <si>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</si>
  <si>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</si>
  <si>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</si>
  <si>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</si>
  <si>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</si>
  <si>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</si>
  <si>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</si>
  <si>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</si>
  <si>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</si>
  <si>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</si>
  <si>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</si>
  <si>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</si>
  <si>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</si>
  <si>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</si>
  <si>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</si>
  <si>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</si>
  <si>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</si>
  <si>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</si>
  <si>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</si>
  <si>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</si>
  <si>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</si>
  <si>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</si>
  <si>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</si>
  <si>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</si>
  <si>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</si>
  <si>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</si>
  <si>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</si>
  <si>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</si>
  <si>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</si>
  <si>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</si>
  <si>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</si>
  <si>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</si>
  <si>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</si>
  <si>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</si>
  <si>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Fighter</t>
  </si>
  <si>
    <t>Crossbowman</t>
  </si>
  <si>
    <t>Blademaster</t>
  </si>
  <si>
    <t>Valkyrie</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</si>
  <si>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</si>
  <si>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</si>
  <si>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</si>
  <si>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</si>
  <si>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</si>
  <si>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</si>
  <si>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</si>
  <si>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</si>
  <si>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</si>
  <si>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</si>
  <si>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</si>
  <si>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</si>
  <si>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</si>
  <si>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</si>
  <si>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</si>
  <si>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</si>
  <si>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</si>
  <si>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</si>
  <si>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</si>
  <si>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</si>
  <si>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</si>
  <si>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</si>
  <si>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</si>
  <si>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</si>
  <si>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</si>
  <si>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</si>
  <si>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</si>
  <si>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</si>
  <si>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</si>
  <si>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</si>
  <si>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</si>
  <si>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</si>
  <si>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</si>
  <si>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</si>
  <si>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</si>
  <si>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Phantom</t>
  </si>
  <si>
    <t>Banshee</t>
  </si>
  <si>
    <t>Ghost</t>
  </si>
  <si>
    <t>Spectre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</si>
  <si>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</si>
  <si>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</si>
  <si>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</si>
  <si>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</si>
  <si>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</si>
  <si>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</si>
  <si>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</si>
  <si>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</si>
  <si>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</si>
  <si>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</si>
  <si>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</si>
  <si>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</si>
  <si>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</si>
  <si>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</si>
  <si>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</si>
  <si>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</si>
  <si>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</si>
  <si>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</si>
  <si>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</si>
  <si>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</si>
  <si>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</si>
  <si>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</si>
  <si>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</si>
  <si>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</si>
  <si>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</si>
  <si>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</si>
  <si>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</si>
  <si>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</si>
  <si>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</si>
  <si>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</si>
  <si>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</si>
  <si>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</si>
  <si>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</si>
  <si>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</si>
  <si>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</si>
  <si>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</si>
  <si>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</si>
  <si>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</si>
  <si>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</si>
  <si>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</si>
  <si>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</si>
  <si>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</si>
  <si>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</si>
  <si>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</si>
  <si>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</si>
  <si>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</si>
  <si>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</si>
  <si>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</si>
  <si>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</si>
  <si>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</si>
  <si>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</si>
  <si>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</si>
  <si>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</si>
  <si>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</si>
  <si>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</si>
  <si>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</si>
  <si>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</si>
  <si>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</si>
  <si>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</si>
  <si>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</si>
  <si>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</si>
  <si>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</si>
  <si>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</si>
  <si>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</si>
  <si>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</si>
  <si>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</si>
  <si>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</si>
  <si>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</si>
  <si>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</si>
  <si>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</si>
  <si>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</si>
  <si>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</si>
  <si>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</si>
  <si>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</si>
  <si>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</si>
  <si>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</si>
  <si>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</si>
  <si>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</si>
  <si>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</si>
  <si>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</si>
  <si>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</si>
  <si>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</si>
  <si>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</si>
  <si>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</si>
  <si>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</si>
  <si>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</si>
  <si>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</si>
  <si>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</si>
  <si>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</si>
  <si>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</si>
  <si>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</si>
  <si>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</si>
  <si>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</si>
  <si>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</si>
  <si>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</si>
  <si>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</si>
  <si>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</si>
  <si>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</si>
  <si>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</si>
  <si>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</si>
  <si>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</si>
  <si>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</si>
  <si>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</si>
  <si>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</si>
  <si>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</si>
  <si>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</si>
  <si>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</si>
  <si>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</si>
  <si>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</si>
  <si>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</si>
  <si>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</si>
  <si>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</si>
  <si>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</si>
  <si>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</si>
  <si>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</si>
  <si>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</si>
  <si>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</si>
  <si>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</si>
  <si>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</si>
  <si>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</si>
  <si>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</si>
  <si>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</si>
  <si>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</si>
  <si>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</si>
  <si>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</si>
  <si>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</si>
  <si>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</si>
  <si>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</si>
  <si>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</si>
  <si>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</si>
  <si>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</si>
  <si>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</si>
  <si>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</si>
  <si>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</si>
  <si>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</si>
  <si>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</si>
  <si>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</si>
  <si>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</si>
  <si>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</si>
  <si>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</si>
  <si>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</si>
  <si>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</si>
  <si>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</si>
  <si>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</si>
  <si>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</si>
  <si>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</si>
  <si>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</si>
  <si>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</si>
  <si>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</si>
  <si>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</si>
  <si>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</si>
  <si>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</si>
  <si>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</si>
  <si>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</si>
  <si>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</si>
  <si>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</si>
  <si>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</si>
  <si>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</si>
  <si>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</si>
  <si>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</si>
  <si>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</si>
  <si>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</si>
  <si>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</si>
  <si>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</si>
  <si>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</si>
  <si>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</si>
  <si>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</si>
  <si>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</si>
  <si>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</si>
  <si>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</si>
  <si>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</si>
  <si>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</si>
  <si>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</si>
  <si>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</si>
  <si>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</si>
  <si>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</si>
  <si>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</si>
  <si>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</si>
  <si>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</si>
  <si>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</si>
  <si>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</si>
  <si>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</si>
  <si>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</si>
  <si>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</si>
  <si>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</si>
  <si>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</si>
  <si>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</si>
  <si>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</si>
  <si>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</si>
  <si>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</si>
  <si>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</si>
  <si>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</si>
  <si>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</si>
  <si>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</si>
  <si>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</si>
  <si>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</si>
  <si>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</si>
  <si>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</si>
  <si>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</si>
  <si>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</si>
  <si>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</si>
  <si>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</si>
  <si>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</si>
  <si>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</si>
  <si>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</si>
  <si>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</si>
  <si>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</si>
  <si>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</si>
  <si>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</si>
  <si>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</si>
  <si>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</si>
  <si>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</si>
  <si>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</si>
  <si>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</si>
  <si>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</si>
  <si>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</si>
  <si>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</si>
  <si>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</si>
  <si>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</si>
  <si>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</si>
  <si>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</si>
  <si>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</si>
  <si>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</si>
  <si>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</si>
  <si>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</si>
  <si>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</si>
  <si>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</si>
  <si>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</si>
  <si>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</si>
  <si>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</si>
  <si>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</si>
  <si>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</si>
  <si>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</si>
  <si>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</si>
  <si>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</si>
  <si>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</si>
  <si>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</si>
  <si>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</si>
  <si>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</si>
  <si>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</si>
  <si>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</si>
  <si>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</si>
  <si>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</si>
  <si>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</si>
  <si>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</si>
  <si>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</si>
  <si>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</si>
  <si>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</si>
  <si>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</si>
  <si>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</si>
  <si>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</si>
  <si>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</si>
  <si>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</si>
  <si>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</si>
  <si>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</si>
  <si>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</si>
  <si>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</si>
  <si>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</si>
  <si>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</si>
  <si>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</si>
  <si>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</si>
  <si>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</si>
  <si>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</si>
  <si>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</si>
  <si>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</si>
  <si>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</si>
  <si>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</si>
  <si>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</si>
  <si>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</si>
  <si>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</si>
  <si>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</si>
  <si>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</si>
  <si>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</si>
  <si>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</si>
  <si>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</si>
  <si>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</si>
  <si>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</si>
  <si>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</si>
  <si>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</si>
  <si>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</si>
  <si>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</si>
  <si>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</si>
  <si>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</si>
  <si>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</si>
  <si>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</si>
  <si>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</si>
  <si>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</si>
  <si>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</si>
  <si>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</si>
  <si>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</si>
  <si>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</si>
  <si>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</si>
  <si>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</si>
  <si>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</si>
  <si>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</si>
  <si>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</si>
  <si>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</si>
  <si>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</si>
  <si>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</si>
  <si>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</si>
  <si>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</si>
  <si>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</si>
  <si>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</si>
  <si>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</si>
  <si>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</si>
  <si>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</si>
  <si>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</si>
  <si>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</si>
  <si>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</si>
  <si>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</si>
  <si>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</si>
  <si>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</si>
  <si>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</si>
  <si>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</si>
  <si>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</si>
  <si>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</si>
  <si>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</si>
  <si>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</si>
  <si>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</si>
  <si>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</si>
  <si>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</si>
  <si>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</si>
  <si>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</si>
  <si>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</si>
  <si>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</si>
  <si>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</si>
  <si>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</si>
  <si>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</si>
  <si>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</si>
  <si>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</si>
  <si>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</si>
  <si>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</si>
  <si>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</si>
  <si>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</si>
  <si>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</si>
  <si>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</si>
  <si>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</si>
  <si>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</si>
  <si>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</si>
  <si>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</si>
  <si>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</si>
  <si>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</si>
  <si>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</si>
  <si>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</si>
  <si>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</si>
  <si>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</si>
  <si>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</si>
  <si>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</si>
  <si>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</si>
  <si>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</si>
  <si>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</si>
  <si>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</si>
  <si>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</si>
  <si>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</si>
  <si>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</si>
  <si>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</si>
  <si>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</si>
  <si>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</si>
  <si>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</si>
  <si>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</si>
  <si>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</si>
  <si>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</si>
  <si>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</si>
  <si>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</si>
  <si>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</si>
  <si>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</si>
  <si>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</si>
  <si>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</si>
  <si>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</si>
  <si>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</si>
  <si>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</si>
  <si>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</si>
  <si>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</si>
  <si>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</si>
  <si>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</si>
  <si>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</si>
  <si>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</si>
  <si>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</si>
  <si>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</si>
  <si>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</si>
  <si>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</si>
  <si>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</si>
  <si>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</si>
  <si>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</si>
  <si>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</si>
  <si>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</si>
  <si>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</si>
  <si>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</si>
  <si>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</si>
  <si>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</si>
  <si>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</si>
  <si>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</si>
  <si>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</si>
  <si>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</si>
  <si>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</si>
  <si>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</si>
  <si>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</si>
  <si>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</si>
  <si>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</si>
  <si>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</si>
  <si>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</si>
  <si>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</si>
  <si>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</si>
  <si>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</si>
  <si>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</si>
  <si>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</si>
  <si>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</si>
  <si>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</si>
  <si>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</si>
  <si>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</si>
  <si>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</si>
  <si>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</si>
  <si>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</si>
  <si>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</si>
  <si>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</si>
  <si>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</si>
  <si>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</si>
  <si>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</si>
  <si>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</si>
  <si>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</si>
  <si>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</si>
  <si>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</si>
  <si>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</si>
  <si>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</si>
  <si>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</si>
  <si>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</si>
  <si>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</si>
  <si>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</si>
  <si>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</si>
  <si>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</si>
  <si>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</si>
  <si>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</si>
  <si>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</si>
  <si>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</si>
  <si>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</si>
  <si>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</si>
  <si>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</si>
  <si>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</si>
  <si>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</si>
  <si>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</si>
  <si>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</si>
  <si>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</si>
  <si>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</si>
  <si>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</si>
  <si>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</si>
  <si>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</si>
  <si>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</si>
  <si>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</si>
  <si>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</si>
  <si>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</si>
  <si>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</si>
  <si>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</si>
  <si>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</si>
  <si>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</si>
  <si>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</si>
  <si>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</si>
  <si>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</si>
  <si>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</si>
  <si>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</si>
  <si>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</si>
  <si>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</si>
  <si>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</si>
  <si>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</si>
  <si>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</si>
  <si>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</si>
  <si>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</si>
  <si>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</si>
  <si>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</si>
  <si>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</si>
  <si>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</si>
  <si>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</si>
  <si>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</si>
  <si>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</si>
  <si>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</si>
  <si>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</si>
  <si>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</si>
  <si>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</si>
  <si>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</si>
  <si>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</si>
  <si>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</si>
  <si>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</si>
  <si>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</si>
  <si>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</si>
  <si>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</si>
  <si>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</si>
  <si>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</si>
  <si>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</si>
  <si>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</si>
  <si>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</si>
  <si>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</si>
  <si>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</si>
  <si>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</si>
  <si>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</si>
  <si>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</si>
  <si>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</si>
  <si>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</si>
  <si>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</si>
  <si>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</si>
  <si>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</si>
  <si>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</si>
  <si>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</si>
  <si>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</si>
  <si>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</si>
  <si>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</si>
  <si>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</si>
  <si>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</si>
  <si>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</si>
  <si>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</si>
  <si>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</si>
  <si>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</si>
  <si>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</si>
  <si>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</si>
  <si>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</si>
  <si>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</si>
  <si>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</si>
  <si>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</si>
  <si>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</si>
  <si>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</si>
  <si>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</si>
  <si>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</si>
  <si>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</si>
  <si>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</si>
  <si>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</si>
  <si>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</si>
  <si>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</si>
  <si>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</si>
  <si>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</si>
  <si>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</si>
  <si>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</si>
  <si>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</si>
  <si>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</si>
  <si>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</si>
  <si>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</si>
  <si>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</si>
  <si>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</si>
  <si>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</si>
  <si>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</si>
  <si>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</si>
  <si>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</si>
  <si>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</si>
  <si>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</si>
  <si>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</si>
  <si>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</si>
  <si>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</si>
  <si>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</si>
  <si>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</si>
  <si>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</si>
  <si>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</si>
  <si>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</si>
  <si>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</si>
  <si>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</si>
  <si>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</si>
  <si>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</si>
  <si>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</si>
  <si>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</si>
  <si>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</si>
  <si>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</si>
  <si>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</si>
  <si>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</si>
  <si>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</si>
  <si>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</si>
  <si>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</si>
  <si>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</si>
  <si>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</si>
  <si>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</si>
  <si>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</si>
  <si>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</si>
  <si>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</si>
  <si>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</si>
  <si>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</si>
  <si>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</si>
  <si>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</si>
  <si>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</si>
  <si>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</si>
  <si>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</si>
  <si>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</si>
  <si>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</si>
  <si>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</si>
  <si>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</si>
  <si>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</si>
  <si>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</si>
  <si>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</si>
  <si>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</si>
  <si>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</si>
  <si>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</si>
  <si>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</si>
  <si>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</si>
  <si>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</si>
  <si>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</si>
  <si>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</si>
  <si>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</si>
  <si>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</si>
  <si>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</si>
  <si>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</si>
  <si>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</si>
  <si>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</si>
  <si>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</si>
  <si>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</si>
  <si>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</si>
  <si>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</si>
  <si>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</si>
  <si>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</si>
  <si>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</si>
  <si>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</si>
  <si>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</si>
  <si>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</si>
  <si>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</si>
  <si>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</si>
  <si>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</si>
  <si>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</si>
  <si>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</si>
  <si>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</si>
  <si>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</si>
  <si>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</si>
  <si>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</si>
  <si>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</si>
  <si>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</si>
  <si>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</si>
  <si>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</si>
  <si>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</si>
  <si>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</si>
  <si>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</si>
  <si>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</si>
  <si>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</si>
  <si>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</si>
  <si>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</si>
  <si>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</si>
  <si>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</si>
  <si>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</si>
  <si>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</si>
  <si>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</si>
  <si>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</si>
  <si>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</si>
  <si>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</si>
  <si>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</si>
  <si>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</si>
  <si>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</si>
  <si>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</si>
  <si>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</si>
  <si>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</si>
  <si>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</si>
  <si>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</si>
  <si>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</si>
  <si>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</si>
  <si>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</si>
  <si>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</si>
  <si>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</si>
  <si>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Column35</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</si>
  <si>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</si>
  <si>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</si>
  <si>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</si>
  <si>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</si>
  <si>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</si>
  <si>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</si>
  <si>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</si>
  <si>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</si>
  <si>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</si>
  <si>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</si>
  <si>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</si>
  <si>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</si>
  <si>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</si>
  <si>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</si>
  <si>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</si>
  <si>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</si>
  <si>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</si>
  <si>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</si>
  <si>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</si>
  <si>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</si>
  <si>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</si>
  <si>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</si>
  <si>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</si>
  <si>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</si>
  <si>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</si>
  <si>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</si>
  <si>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</si>
  <si>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</si>
  <si>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</si>
  <si>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</si>
  <si>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</si>
  <si>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</si>
  <si>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</si>
  <si>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</si>
  <si>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</si>
  <si>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</si>
  <si>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</si>
  <si>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</si>
  <si>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</si>
  <si>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</si>
  <si>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</si>
  <si>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</si>
  <si>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</si>
  <si>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</si>
  <si>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</si>
  <si>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</si>
  <si>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</si>
  <si>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</si>
  <si>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</si>
  <si>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</si>
  <si>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</si>
  <si>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</si>
  <si>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</si>
  <si>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</si>
  <si>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</si>
  <si>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</si>
  <si>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</si>
  <si>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</si>
  <si>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</si>
  <si>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</si>
  <si>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</si>
  <si>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</si>
  <si>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</si>
  <si>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</si>
  <si>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</si>
  <si>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</si>
  <si>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</si>
  <si>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</si>
  <si>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</si>
  <si>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</si>
  <si>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</si>
  <si>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</si>
  <si>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</si>
  <si>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</si>
  <si>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</si>
  <si>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</si>
  <si>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</si>
  <si>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</si>
  <si>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</si>
  <si>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</si>
  <si>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</si>
  <si>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</si>
  <si>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</si>
  <si>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</si>
  <si>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</si>
  <si>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</si>
  <si>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</si>
  <si>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</si>
  <si>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</si>
  <si>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</si>
  <si>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</si>
  <si>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</si>
  <si>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</si>
  <si>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</si>
  <si>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</si>
  <si>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</si>
  <si>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</si>
  <si>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</si>
  <si>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</si>
  <si>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</si>
  <si>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</si>
  <si>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</si>
  <si>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</si>
  <si>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</si>
  <si>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</si>
  <si>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</si>
  <si>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</si>
  <si>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</si>
  <si>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</si>
  <si>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</si>
  <si>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</si>
  <si>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</si>
  <si>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</si>
  <si>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</si>
  <si>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</si>
  <si>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</si>
  <si>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</si>
  <si>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</si>
  <si>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</si>
  <si>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</si>
  <si>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</si>
  <si>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</si>
  <si>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</si>
  <si>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</si>
  <si>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</si>
  <si>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</si>
  <si>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</si>
  <si>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</si>
  <si>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</si>
  <si>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</si>
  <si>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</si>
  <si>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</si>
  <si>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</si>
  <si>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</si>
  <si>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</si>
  <si>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</si>
  <si>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</si>
  <si>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</si>
  <si>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</si>
  <si>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</si>
  <si>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</si>
  <si>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</si>
  <si>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</si>
  <si>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</si>
  <si>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</si>
  <si>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</si>
  <si>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</si>
  <si>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</si>
  <si>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</si>
  <si>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</si>
  <si>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</si>
  <si>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</si>
  <si>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</si>
  <si>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</si>
  <si>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</si>
  <si>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</si>
  <si>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</si>
  <si>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</si>
  <si>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</si>
  <si>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</si>
  <si>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</si>
  <si>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</si>
  <si>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</si>
  <si>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</si>
  <si>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</si>
  <si>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</si>
  <si>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</si>
  <si>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</si>
  <si>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</si>
  <si>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</si>
  <si>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</si>
  <si>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</si>
  <si>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</si>
  <si>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</si>
  <si>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</si>
  <si>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</si>
  <si>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</si>
  <si>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</si>
  <si>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</si>
  <si>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</si>
  <si>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</si>
  <si>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</si>
  <si>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</si>
  <si>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</si>
  <si>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</si>
  <si>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</si>
  <si>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</si>
  <si>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</si>
  <si>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</si>
  <si>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</si>
  <si>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</si>
  <si>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</si>
  <si>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</si>
  <si>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</si>
  <si>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</si>
  <si>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</si>
  <si>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</si>
  <si>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</si>
  <si>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</si>
  <si>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</si>
  <si>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</si>
  <si>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</si>
  <si>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</si>
  <si>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</si>
  <si>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</si>
  <si>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</si>
  <si>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</si>
  <si>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</si>
  <si>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</si>
  <si>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</si>
  <si>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</si>
  <si>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</si>
  <si>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</si>
  <si>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</si>
  <si>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</si>
  <si>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</si>
  <si>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</si>
  <si>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</si>
  <si>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</si>
  <si>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</si>
  <si>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</si>
  <si>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</si>
  <si>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</si>
  <si>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</si>
  <si>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</si>
  <si>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</si>
  <si>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</si>
  <si>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</si>
  <si>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</si>
  <si>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</si>
  <si>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</si>
  <si>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</si>
  <si>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</si>
  <si>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</si>
  <si>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</si>
  <si>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</si>
  <si>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</si>
  <si>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</si>
  <si>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</si>
  <si>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</si>
  <si>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</si>
  <si>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</si>
  <si>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</si>
  <si>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</si>
  <si>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</si>
  <si>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</si>
  <si>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</si>
  <si>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</si>
  <si>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</si>
  <si>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</si>
  <si>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</si>
  <si>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</si>
  <si>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</si>
  <si>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</si>
  <si>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</si>
  <si>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</si>
  <si>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</si>
  <si>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</si>
  <si>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</si>
  <si>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</si>
  <si>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</si>
  <si>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</si>
  <si>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</si>
  <si>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</si>
  <si>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</si>
  <si>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</si>
  <si>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</si>
  <si>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</si>
  <si>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</si>
  <si>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</si>
  <si>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</si>
  <si>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</si>
  <si>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</si>
  <si>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</si>
  <si>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</si>
  <si>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</si>
  <si>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</si>
  <si>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</si>
  <si>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</si>
  <si>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</si>
  <si>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</si>
  <si>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</si>
  <si>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</si>
  <si>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</si>
  <si>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</si>
  <si>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</si>
  <si>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</si>
  <si>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</si>
  <si>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</si>
  <si>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</si>
  <si>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</si>
  <si>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</si>
  <si>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</si>
  <si>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</si>
  <si>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</si>
  <si>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</si>
  <si>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</si>
  <si>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</si>
  <si>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</si>
  <si>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</si>
  <si>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</si>
  <si>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</si>
  <si>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OD Round 25</t>
  </si>
  <si>
    <t>Schools</t>
  </si>
  <si>
    <t>RP/school%</t>
  </si>
  <si>
    <t>Explore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</si>
</sst>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3">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Border="1" applyAlignme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2" fillId="12" borderId="0" xfId="0" applyFont="1" applyFill="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9">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8"/>
      <tableStyleElement type="headerRow" dxfId="987"/>
      <tableStyleElement type="totalRow" dxfId="986"/>
      <tableStyleElement type="firstColumn" dxfId="985"/>
      <tableStyleElement type="lastColumn" dxfId="984"/>
      <tableStyleElement type="firstRowStripe" dxfId="983"/>
      <tableStyleElement type="secondRowStripe" dxfId="982"/>
      <tableStyleElement type="firstColumnStripe" dxfId="981"/>
    </tableStyle>
    <tableStyle name="TableStyleLight1 3" pivot="0" count="8" xr9:uid="{40048D91-B7B4-48AD-ADA3-F7B5F24E3A0B}">
      <tableStyleElement type="wholeTable" dxfId="980"/>
      <tableStyleElement type="headerRow" dxfId="979"/>
      <tableStyleElement type="totalRow" dxfId="978"/>
      <tableStyleElement type="firstColumn" dxfId="977"/>
      <tableStyleElement type="lastColumn" dxfId="976"/>
      <tableStyleElement type="firstRowStripe" dxfId="975"/>
      <tableStyleElement type="secondRowStripe" dxfId="974"/>
      <tableStyleElement type="firstColumnStripe" dxfId="973"/>
    </tableStyle>
    <tableStyle name="TableStyleLight1 3 2" pivot="0" count="8" xr9:uid="{C5C8B11A-65E1-47E8-8B6A-A638EA763C9D}">
      <tableStyleElement type="wholeTable" dxfId="972"/>
      <tableStyleElement type="headerRow" dxfId="971"/>
      <tableStyleElement type="totalRow" dxfId="970"/>
      <tableStyleElement type="firstColumn" dxfId="969"/>
      <tableStyleElement type="lastColumn" dxfId="968"/>
      <tableStyleElement type="firstRowStripe" dxfId="967"/>
      <tableStyleElement type="secondRowStripe" dxfId="966"/>
      <tableStyleElement type="firstColumnStripe" dxfId="965"/>
    </tableStyle>
    <tableStyle name="TableStyleLight1 4" pivot="0" count="8" xr9:uid="{879439EA-876F-405F-B69E-85273FF10F93}">
      <tableStyleElement type="wholeTable" dxfId="964"/>
      <tableStyleElement type="headerRow" dxfId="963"/>
      <tableStyleElement type="totalRow" dxfId="962"/>
      <tableStyleElement type="firstColumn" dxfId="961"/>
      <tableStyleElement type="lastColumn" dxfId="960"/>
      <tableStyleElement type="firstRowStripe" dxfId="959"/>
      <tableStyleElement type="secondRowStripe" dxfId="958"/>
      <tableStyleElement type="firstColumnStripe" dxfId="957"/>
    </tableStyle>
    <tableStyle name="TableStyleLight1 4 2" pivot="0" count="8" xr9:uid="{A2A787F1-3FC0-4774-93F6-6F67EEF4DC05}">
      <tableStyleElement type="wholeTable" dxfId="956"/>
      <tableStyleElement type="headerRow" dxfId="955"/>
      <tableStyleElement type="totalRow" dxfId="954"/>
      <tableStyleElement type="firstColumn" dxfId="953"/>
      <tableStyleElement type="lastColumn" dxfId="952"/>
      <tableStyleElement type="firstRowStripe" dxfId="951"/>
      <tableStyleElement type="secondRowStripe" dxfId="950"/>
      <tableStyleElement type="firstColumnStripe" dxfId="949"/>
    </tableStyle>
    <tableStyle name="TableStyleLight1 5" pivot="0" count="8" xr9:uid="{CB689928-D93B-4088-A9C6-560B4B9C5E75}">
      <tableStyleElement type="wholeTable" dxfId="948"/>
      <tableStyleElement type="headerRow" dxfId="947"/>
      <tableStyleElement type="totalRow" dxfId="946"/>
      <tableStyleElement type="firstColumn" dxfId="945"/>
      <tableStyleElement type="lastColumn" dxfId="944"/>
      <tableStyleElement type="firstRowStripe" dxfId="943"/>
      <tableStyleElement type="secondRowStripe" dxfId="942"/>
      <tableStyleElement type="firstColumnStripe" dxfId="941"/>
    </tableStyle>
    <tableStyle name="TableStyleLight1 5 2" pivot="0" count="8" xr9:uid="{7B8F54C5-86FC-4F37-89FD-016FBCC24E05}">
      <tableStyleElement type="wholeTable" dxfId="940"/>
      <tableStyleElement type="headerRow" dxfId="939"/>
      <tableStyleElement type="totalRow" dxfId="938"/>
      <tableStyleElement type="firstColumn" dxfId="937"/>
      <tableStyleElement type="lastColumn" dxfId="936"/>
      <tableStyleElement type="firstRowStripe" dxfId="935"/>
      <tableStyleElement type="secondRowStripe" dxfId="934"/>
      <tableStyleElement type="firstColumnStripe" dxfId="933"/>
    </tableStyle>
    <tableStyle name="TableStyleLight1 5 2 2" pivot="0" count="8" xr9:uid="{03577705-4D4B-4BC8-BE21-E9B4AACE52E1}">
      <tableStyleElement type="wholeTable" dxfId="932"/>
      <tableStyleElement type="headerRow" dxfId="931"/>
      <tableStyleElement type="totalRow" dxfId="930"/>
      <tableStyleElement type="firstColumn" dxfId="929"/>
      <tableStyleElement type="lastColumn" dxfId="928"/>
      <tableStyleElement type="firstRowStripe" dxfId="927"/>
      <tableStyleElement type="secondRowStripe" dxfId="926"/>
      <tableStyleElement type="firstColumnStripe" dxfId="925"/>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0" dataDxfId="919">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8">
      <calculatedColumnFormula>_xlfn.SINGLE(INDEX(TblRaces[],MATCH(race,TblRaces[Race],0),4))</calculatedColumnFormula>
    </tableColumn>
    <tableColumn id="2" xr3:uid="{00000000-0010-0000-0000-000002000000}" name="Offense" dataDxfId="917">
      <calculatedColumnFormula>_xlfn.IFNA(INDEX(TblRaces[],MATCH(TblUnits[[#This Row],[Unit Names]],TblRaces[Unitname],0),5),"")</calculatedColumnFormula>
    </tableColumn>
    <tableColumn id="3" xr3:uid="{00000000-0010-0000-0000-000003000000}" name="Defense" dataDxfId="916">
      <calculatedColumnFormula>_xlfn.IFNA(INDEX(TblRaces[],MATCH(TblUnits[[#This Row],[Unit Names]],TblRaces[Unitname],0),6),"")</calculatedColumnFormula>
    </tableColumn>
    <tableColumn id="4" xr3:uid="{00000000-0010-0000-0000-000004000000}" name="Platinum" dataDxfId="915">
      <calculatedColumnFormula>_xlfn.IFNA(INDEX(TblRaces[],MATCH(TblUnits[[#This Row],[Unit Names]],TblRaces[Unitname],0),7),"")</calculatedColumnFormula>
    </tableColumn>
    <tableColumn id="5" xr3:uid="{00000000-0010-0000-0000-000005000000}" name="Ore" dataDxfId="914">
      <calculatedColumnFormula>_xlfn.IFNA(INDEX(TblRaces[],MATCH(TblUnits[[#This Row],[Unit Names]],TblRaces[Unitname],0),8),"")</calculatedColumnFormula>
    </tableColumn>
    <tableColumn id="6" xr3:uid="{00000000-0010-0000-0000-000006000000}" name="Networth" dataDxfId="913">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2" dataDxfId="910" headerRowBorderDxfId="911" tableBorderDxfId="909">
  <autoFilter ref="H14:I32" xr:uid="{6EDA5300-DB26-4799-A5D1-5432AC102827}">
    <filterColumn colId="0" hiddenButton="1"/>
    <filterColumn colId="1" hiddenButton="1"/>
  </autoFilter>
  <tableColumns count="2">
    <tableColumn id="1" xr3:uid="{C93253AD-A598-462C-985D-E538FB5404AF}" name="Race Bonuses" dataDxfId="908"/>
    <tableColumn id="2" xr3:uid="{7301230A-1354-4459-BA19-9D8AE9608978}" name="Bonus" dataDxfId="907"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6" dataDxfId="905" tableBorderDxfId="904">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3"/>
    <tableColumn id="2" xr3:uid="{F7BA9D3F-F979-435F-AF55-B8562C7F08C8}" name=" " dataDxfId="902"/>
    <tableColumn id="3" xr3:uid="{C661B1D0-1EAD-42B7-889A-9265EA75CB1D}" name="Offense" dataDxfId="901"/>
    <tableColumn id="4" xr3:uid="{594F8FE6-285D-432D-AB90-DE26655C8963}" name="Bonus" dataDxfId="900"/>
    <tableColumn id="5" xr3:uid="{1A4EBEB0-1016-4D5D-920D-08D8AD7AFC97}" name="OP Mod" dataDxfId="899"/>
    <tableColumn id="6" xr3:uid="{0A455978-2417-4AD7-8969-95433ADAC6F4}" name="Defense" dataDxfId="898"/>
    <tableColumn id="7" xr3:uid="{3C4FEC10-2BEB-4EC0-AA98-F67CC8DBE5B5}" name="DP Bonus" dataDxfId="897"/>
    <tableColumn id="8" xr3:uid="{9CE669CC-5E7B-4E7B-8FFE-265EB626E935}" name="DP Mod" dataDxfId="896"/>
    <tableColumn id="9" xr3:uid="{7DE0C022-18E9-48B5-8835-9B63E8CC1CDF}" name="." dataDxfId="895"/>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4" dataDxfId="892" headerRowBorderDxfId="893" tableBorderDxfId="891">
  <autoFilter ref="H47:J51" xr:uid="{86CCA094-2F84-4D6A-BB34-AED37B4839D4}">
    <filterColumn colId="0" hiddenButton="1"/>
    <filterColumn colId="1" hiddenButton="1"/>
    <filterColumn colId="2" hiddenButton="1"/>
  </autoFilter>
  <tableColumns count="3">
    <tableColumn id="1" xr3:uid="{E0152EC7-4145-4063-BAB4-B6301A014F4B}" name="Type" dataDxfId="890"/>
    <tableColumn id="2" xr3:uid="{FAE1A1FE-F8EC-48F0-A8AF-ADF4B1F44E93}" name="Raw" dataDxfId="889"/>
    <tableColumn id="3" xr3:uid="{AFD4C97E-F124-4CC9-8087-32A6EB65C3D5}" name="Modded" dataDxfId="888"/>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7" dataDxfId="885" headerRowBorderDxfId="886" tableBorderDxfId="884">
  <autoFilter ref="H54:J57" xr:uid="{4A95BFF0-5AE4-4064-BA31-9F687E8E34BD}">
    <filterColumn colId="0" hiddenButton="1"/>
    <filterColumn colId="1" hiddenButton="1"/>
    <filterColumn colId="2" hiddenButton="1"/>
  </autoFilter>
  <tableColumns count="3">
    <tableColumn id="1" xr3:uid="{ACCDFB1C-E1AE-4F10-BB67-59F2B9780D01}" name="Hour" dataDxfId="883"/>
    <tableColumn id="2" xr3:uid="{277A266C-0AEF-4864-99C7-1E807FF68978}" name="Amount" dataDxfId="882"/>
    <tableColumn id="3" xr3:uid="{DD724D20-8039-4E15-A45D-F535D999ED97}" name="Without Training" dataDxfId="881"/>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0" dataDxfId="879" totalsRowDxfId="877" tableBorderDxfId="878">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6" totalsRowDxfId="875"/>
    <tableColumn id="2" xr3:uid="{739DBC51-BC77-4631-B107-088DC25245EB}" name="Amount" totalsRowFunction="sum" dataDxfId="874" totalsRowDxfId="873"/>
    <tableColumn id="3" xr3:uid="{41BF49B0-731E-480A-A25D-802B4380182E}" name="Relative" totalsRowFunction="custom" totalsRowDxfId="872"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1" dataDxfId="870" tableBorderDxfId="869">
  <autoFilter ref="D46:F69" xr:uid="{6C8ACB43-975F-416A-A510-CF883452891C}">
    <filterColumn colId="0" hiddenButton="1"/>
    <filterColumn colId="1" hiddenButton="1"/>
    <filterColumn colId="2" hiddenButton="1"/>
  </autoFilter>
  <tableColumns count="3">
    <tableColumn id="1" xr3:uid="{97F6A0D7-4C71-45E8-A9DA-F3DBEC3693D1}" name="Acres" dataDxfId="868"/>
    <tableColumn id="2" xr3:uid="{70370623-AE12-4AC1-B3BC-5FA6F33097E0}" name=" " dataDxfId="867"/>
    <tableColumn id="3" xr3:uid="{76F2AA18-B160-4225-A8AB-03D1370169AB}" name="   " dataDxfId="866"/>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5" dataDxfId="863" headerRowBorderDxfId="864" tableBorderDxfId="862">
  <autoFilter ref="D14:E18" xr:uid="{AF658822-94AE-4FD8-9D6D-E660E1B5C629}">
    <filterColumn colId="0" hiddenButton="1"/>
    <filterColumn colId="1" hiddenButton="1"/>
  </autoFilter>
  <tableColumns count="2">
    <tableColumn id="1" xr3:uid="{EFD90BA2-CBAC-4BDB-9434-40FB9C2485F4}" name="Date&amp;Time" dataDxfId="861"/>
    <tableColumn id="2" xr3:uid="{CCEF9A0F-7383-4941-A440-9E2452942487}" name="." dataDxfId="860"/>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3" dataDxfId="852" totalsRowDxfId="85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0" totalsRowDxfId="849">
      <calculatedColumnFormula>TblRezone[[#This Row],[Hour]]</calculatedColumnFormula>
    </tableColumn>
    <tableColumn id="2" xr3:uid="{7657952B-D9DB-46FC-BD8D-612DECDC04FD}" name="Time" dataDxfId="848" totalsRowDxfId="847">
      <calculatedColumnFormula>TblImps[[#This Row],[Time]]</calculatedColumnFormula>
    </tableColumn>
    <tableColumn id="3" xr3:uid="{767542B9-4E58-42E2-85BA-5C1DB6108363}" name="Peasants" dataDxfId="846" totalsRowDxfId="845">
      <calculatedColumnFormula>OFFSET(TblPop[[#This Row],[Peasants]],-1,0)+OFFSET(TblPop[[#This Row],[Net Peasant]],-1,0)+TblMili[[#This Row],[Release Draft]]</calculatedColumnFormula>
    </tableColumn>
    <tableColumn id="4" xr3:uid="{F5DC2705-5767-4AD0-A2E0-E36086D164C0}" name="Military" dataDxfId="844" totalsRowDxfId="843">
      <calculatedColumnFormula>TblMili[[#This Row],[Military]]</calculatedColumnFormula>
    </tableColumn>
    <tableColumn id="5" xr3:uid="{57E397CE-6C2C-48AE-9B2E-52E14099EAFC}" name="Draftees" dataDxfId="842" totalsRowDxfId="841">
      <calculatedColumnFormula>TblMili[[#This Row],[Draftees]]</calculatedColumnFormula>
    </tableColumn>
    <tableColumn id="6" xr3:uid="{7339086D-8AEE-45A5-B78D-EA6FDBA34E10}" name="Total" dataDxfId="840" totalsRowDxfId="839">
      <calculatedColumnFormula>TblPop[[#This Row],[Peasants]]+TblPop[[#This Row],[Military]]</calculatedColumnFormula>
    </tableColumn>
    <tableColumn id="7" xr3:uid="{75D92B6D-F4CA-42F7-80B3-4BF8A336E69C}" name="Military%" dataDxfId="838" totalsRowDxfId="837" dataCellStyle="Percent">
      <calculatedColumnFormula>TblPop[[#This Row],[Military]]/TblPop[[#This Row],[Total]]</calculatedColumnFormula>
    </tableColumn>
    <tableColumn id="8" xr3:uid="{257C6438-3205-4A45-9F91-ACD066CD59E8}" name="Employed" dataDxfId="836" totalsRowDxfId="835" dataCellStyle="Percent">
      <calculatedColumnFormula>MIN(TblPop[[#This Row],[Peasants]],TblPop[[#This Row],[Jobs]])</calculatedColumnFormula>
    </tableColumn>
    <tableColumn id="9" xr3:uid="{B05B6937-2C12-476B-B555-2A8ED6FF34EF}" name="Employment" dataDxfId="834" totalsRowDxfId="833" dataCellStyle="Percent">
      <calculatedColumnFormula>MIN(OFFSET(TblPop[[#This Row],[Jobs]],1,0)/TblPop[[#This Row],[Peasants]],1)</calculatedColumnFormula>
    </tableColumn>
    <tableColumn id="10" xr3:uid="{AD7F9BB7-A630-4BBB-AFEA-37B907196778}" name="Jobs" dataDxfId="832" totalsRowDxfId="831"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0" totalsRowDxfId="829" dataCellStyle="Percent"/>
    <tableColumn id="12" xr3:uid="{2EEFBFF9-40A4-412F-8FEC-C2F4799A06E6}" name=" Draftees" dataDxfId="828" totalsRowDxfId="827">
      <calculatedColumnFormula>TblPop[[#This Row],[Draftees]]</calculatedColumnFormula>
    </tableColumn>
    <tableColumn id="13" xr3:uid="{43729A62-E847-4DBB-BC42-62B1FB3DA7A5}" name="Unit 1" dataDxfId="826" totalsRowDxfId="825">
      <calculatedColumnFormula>TblMili[[#This Row],[Unit 1]]</calculatedColumnFormula>
    </tableColumn>
    <tableColumn id="14" xr3:uid="{C7A024F4-2376-4871-897D-90BEBEBC78B7}" name="Unit 2" dataDxfId="824" totalsRowDxfId="823">
      <calculatedColumnFormula>TblMili[[#This Row],[Unit 2]]</calculatedColumnFormula>
    </tableColumn>
    <tableColumn id="15" xr3:uid="{93EC8730-4D26-4E19-ADAA-3ED5C943F257}" name="Unit 3" dataDxfId="822" totalsRowDxfId="821">
      <calculatedColumnFormula>TblMili[[#This Row],[Unit 3]]</calculatedColumnFormula>
    </tableColumn>
    <tableColumn id="16" xr3:uid="{1A382ACC-9ED2-4A5E-BEE3-781B1DBCF186}" name="Unit 4" dataDxfId="820" totalsRowDxfId="819">
      <calculatedColumnFormula>TblMili[[#This Row],[Unit 4]]</calculatedColumnFormula>
    </tableColumn>
    <tableColumn id="17" xr3:uid="{491D1C19-D1B1-48C7-8FC6-BE77B7CD2635}" name="Spies" dataDxfId="818" totalsRowDxfId="817">
      <calculatedColumnFormula>TblMili[[#This Row],[Spies]]</calculatedColumnFormula>
    </tableColumn>
    <tableColumn id="18" xr3:uid="{1AF95FC5-21CD-41AC-A69F-CF5E9AF4AB85}" name="Wizards" dataDxfId="816" totalsRowDxfId="815">
      <calculatedColumnFormula>TblMili[[#This Row],[Wizards]]</calculatedColumnFormula>
    </tableColumn>
    <tableColumn id="19" xr3:uid="{C157D21E-FD58-4F24-A070-1819A7E2DA97}" name="Archmage" dataDxfId="814" totalsRowDxfId="813">
      <calculatedColumnFormula>TblMili[[#This Row],[Archmages]]</calculatedColumnFormula>
    </tableColumn>
    <tableColumn id="20" xr3:uid="{6BBFB632-E92F-4F29-AE3D-534C8288C615}" name=".." dataDxfId="812" totalsRowDxfId="811"/>
    <tableColumn id="21" xr3:uid="{59CAD00B-A8EE-455B-A015-E17ADF56A7B2}" name="Net max" dataDxfId="810" totalsRowDxfId="809">
      <calculatedColumnFormula>ROUND(TblPop[[#This Row],[Raw max]]*(1+TblPop[[#This Row],[Max pop]]),0)+MIN(TblPop[[#This Row],[Military]]-TblPop[[#This Row],[Draftees]]-SUM(TblMili[[#This Row],[Train Unit 1]:[Train Arch]]),ROUND(barracks_size*(1 + Production!O4/100*prestige_pop_multiplier),0)*TblConstr[[#This Row],[Tot Bar]])</calculatedColumnFormula>
    </tableColumn>
    <tableColumn id="22" xr3:uid="{B78869DE-CFE3-4F3A-B8C6-9B9A53295B32}" name="Raw max" dataDxfId="808" totalsRowDxfId="807">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6" totalsRowDxfId="805">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4" totalsRowDxfId="803">
      <calculatedColumnFormula>ROUND(TblPop[[#This Row],[Raw Birth]]*(1+TblPop[[#This Row],[Growth]]),0)</calculatedColumnFormula>
    </tableColumn>
    <tableColumn id="25" xr3:uid="{26E60E7F-6DA3-49EF-99E8-26A0DAD2D630}" name="Raw Birth" dataDxfId="802" totalsRowDxfId="801">
      <calculatedColumnFormula>(TblPop[[#This Row],[Peasants]]-TblPop[[#This Row],[Draft Growth]])*raw_pop_growth</calculatedColumnFormula>
    </tableColumn>
    <tableColumn id="26" xr3:uid="{6E1274BE-772F-4747-A295-D51601B4FE11}" name="Draft Growth" dataDxfId="800" totalsRowDxfId="799">
      <calculatedColumnFormula>IF(TblPop[[#This Row],[Military%]]&lt;TblMili[[#This Row],[Draftrate]],ROUND(TblPop[[#This Row],[Peasants]]*Constants!$B$53,0), 0)</calculatedColumnFormula>
    </tableColumn>
    <tableColumn id="27" xr3:uid="{858CE2A0-AC9E-46FE-9A70-AED1578889CB}" name="...." dataDxfId="798" totalsRowDxfId="797"/>
    <tableColumn id="28" xr3:uid="{B271B9C7-94D1-498F-9FBB-69DF5F1BCE3F}" name="Growth" dataDxfId="796" totalsRowDxfId="795" dataCellStyle="Percent">
      <calculatedColumnFormula>Overview!$I$16 + IF(Magic!AD4&gt;0,Constants!$F$77) + ROUND(6*(Construction!BM5+Construction!CK4)/IF(Explore!S5&gt;0,Construction!F5-20,Construction!F5),4) + tech_6_5_2*Techs!BJ4 + tech_8_4*Techs!BT4</calculatedColumnFormula>
    </tableColumn>
    <tableColumn id="29" xr3:uid="{4E692113-E2CA-4AEB-9E48-68D7C08F24E9}" name="Max pop" totalsRowFunction="sum" dataDxfId="794" totalsRowDxfId="793"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4" dataDxfId="782" headerRowBorderDxfId="783" tableBorderDxfId="781">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0"/>
    <tableColumn id="2" xr3:uid="{A509F8BB-FCD1-4951-8F3F-2AE2B32FB91D}" name="Time" dataDxfId="779">
      <calculatedColumnFormula>TblImps[[#This Row],[Time]]</calculatedColumnFormula>
    </tableColumn>
    <tableColumn id="3" xr3:uid="{BD173BCD-6C73-484D-BDFC-2CBFE8B32234}" name="Plat Bonus" dataDxfId="778"/>
    <tableColumn id="4" xr3:uid="{9A9B3DEC-EBEC-4801-BF4F-F90BBBCDF331}" name="." dataDxfId="777"/>
    <tableColumn id="5" xr3:uid="{6F9B5905-FA1D-4099-B9CC-6BE237355D58}" name="Land" dataDxfId="776">
      <calculatedColumnFormula>TblConstr[[#This Row],[Land]]</calculatedColumnFormula>
    </tableColumn>
    <tableColumn id="6" xr3:uid="{5ADA8DA4-36DC-4D4F-AE4E-76BDD26AF270}" name="Peasants" dataDxfId="775">
      <calculatedColumnFormula>TblPop[[#This Row],[Peasants]]</calculatedColumnFormula>
    </tableColumn>
    <tableColumn id="7" xr3:uid="{EE7F0FC7-4D30-4144-88EE-9A05AD7BF609}" name="Networth" dataDxfId="774">
      <calculatedColumnFormula>TblMili[[#This Row],[Networth (2)]]</calculatedColumnFormula>
    </tableColumn>
    <tableColumn id="8" xr3:uid="{F7B8E7A7-7AD4-4D83-8297-946670C39E55}" name="Platinum" dataDxfId="773">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2">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1">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0">
      <calculatedColumnFormula>OFFSET(TblProd[[#This Row],[Mana]],-1,0)+OFFSET(TblProd[[#This Row],[Mana/hr]],-1,0)- TblProd[[#This Row],[Expenses Mana]]</calculatedColumnFormula>
    </tableColumn>
    <tableColumn id="12" xr3:uid="{C80C4246-7273-429F-BE79-86B1B4181061}" name="Ore" dataDxfId="769">
      <calculatedColumnFormula>OFFSET(TblProd[[#This Row],[Ore]],-1,0)+OFFSET(TblProd[[#This Row],[Ore/hr]],-1,0) -TblProd[[#This Row],[Expenses Ore]]</calculatedColumnFormula>
    </tableColumn>
    <tableColumn id="13" xr3:uid="{4174B9D9-5881-42F2-A514-2A7372C2B486}" name="Gems" dataDxfId="768">
      <calculatedColumnFormula>OFFSET(TblProd[[#This Row],[Gems]],-1,0)+OFFSET(TblProd[[#This Row],[Gems/hr]],-1,0) - TblProd[[#This Row],[Expenses Gems]]</calculatedColumnFormula>
    </tableColumn>
    <tableColumn id="14" xr3:uid="{C9DF5508-173B-4E9B-BD32-3313FC0AECA9}" name="Boats" dataDxfId="767">
      <calculatedColumnFormula>OFFSET(TblProd[[#This Row],[Boats]],-1,0)+OFFSET(TblProd[[#This Row],[Boats/hr]],-1,0)</calculatedColumnFormula>
    </tableColumn>
    <tableColumn id="15" xr3:uid="{C2EE37F5-4C79-4BD9-BE97-5B3BBB490CD3}" name="Prestige" dataDxfId="766">
      <calculatedColumnFormula>OFFSET(TblProd[[#This Row],[Prestige]],-1,0)</calculatedColumnFormula>
    </tableColumn>
    <tableColumn id="16" xr3:uid="{5EEA2772-71AB-4FF8-BF5F-D1D5B4044943}" name="Techpoints" dataDxfId="765">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4"/>
    <tableColumn id="18" xr3:uid="{BC60D6AE-146D-440E-93B9-050DE2CAED7A}" name=".." dataDxfId="763"/>
    <tableColumn id="19" xr3:uid="{F7A6187F-1DDE-45C0-B221-8BA0937C4E35}" name="Plat/hr" dataDxfId="762">
      <calculatedColumnFormula>ROUNDDOWN(TblProd[[#This Row],[Raw Plat/hr]]*(1+TblProd[[#This Row],[Bonus Plat/hr]]),0)</calculatedColumnFormula>
    </tableColumn>
    <tableColumn id="20" xr3:uid="{EBA5F35A-607A-475E-9357-98AF551D44A6}" name="Food/hr" dataDxfId="761">
      <calculatedColumnFormula>ROUND(TblProd[[#This Row],[Raw Food/hr]]*(1+TblProd[[#This Row],[Bonus Food/hr]])-TblProd[[#This Row],[Food decay]]-TblProd[[#This Row],[Food eaten]],0)</calculatedColumnFormula>
    </tableColumn>
    <tableColumn id="21" xr3:uid="{D75AA2A6-F107-4144-8A7D-4BE575236288}" name="Lumber/hr" dataDxfId="760">
      <calculatedColumnFormula>ROUND(TblProd[[#This Row],[Raw Lumber/hr]]*(1+TblProd[[#This Row],[Bonus Lumber/hr]])-TblProd[[#This Row],[Lumber rot]],0)</calculatedColumnFormula>
    </tableColumn>
    <tableColumn id="22" xr3:uid="{4AA82FE8-7AD6-4F9E-B8A1-627CE2E70CE0}" name="Mana/hr" dataDxfId="759">
      <calculatedColumnFormula>ROUND(TblProd[[#This Row],[Raw Mana/hr]]*(1+TblProd[[#This Row],[Bonus Mana/hr]])-TblProd[[#This Row],[Mana drain]],0)</calculatedColumnFormula>
    </tableColumn>
    <tableColumn id="23" xr3:uid="{86A49F4B-CDA3-4B61-B4D9-8830178E715E}" name="Ore/hr" dataDxfId="758">
      <calculatedColumnFormula>ROUNDDOWN(TblProd[[#This Row],[Raw Ore/hr]]*(1+TblProd[[#This Row],[Bonux Ore/hr]]),0)</calculatedColumnFormula>
    </tableColumn>
    <tableColumn id="24" xr3:uid="{F7C3BCF1-3F12-4405-8E19-ED1B9D20D049}" name="Gems/hr" dataDxfId="757">
      <calculatedColumnFormula>ROUNDDOWN(TblProd[[#This Row],[Raw Gems/hr]]*(1+TblProd[[#This Row],[Bonus Gems/hr]]),0)</calculatedColumnFormula>
    </tableColumn>
    <tableColumn id="25" xr3:uid="{E754A630-9007-4F8A-A8B7-C56609E09275}" name="Boats/hr" dataDxfId="756">
      <calculatedColumnFormula>OFFSET(TblConstr[[#This Row],[Tot Doc]],1,0)*dock_boats_hr * (1 + tech_4_1*TblTech[[#This Row],[4-1]])</calculatedColumnFormula>
    </tableColumn>
    <tableColumn id="26" xr3:uid="{8666710D-F3A4-4016-AA32-8D95B9BFFE3D}" name="…" dataDxfId="755"/>
    <tableColumn id="27" xr3:uid="{BE5DAA3C-8D26-4E0F-87D4-E9FE3E149040}" name="Raw Plat/hr" dataDxfId="754">
      <calculatedColumnFormula>TblPop[[#This Row],[Peasants]]*tax*TblPop[[#This Row],[Employment]] + (Construction!AZ5+Construction!BX5)*(alch_plat+(Magic!AL4&gt;0)*alchemist_flame_bonus)</calculatedColumnFormula>
    </tableColumn>
    <tableColumn id="28" xr3:uid="{72437831-3C94-4E01-9B66-637CE9F1FC37}" name="Raw Food/hr" dataDxfId="753">
      <calculatedColumnFormula>TblConstr[[#This Row],[Tot Farm]]*farm_food + TblConstr[[#This Row],[Tot Doc]]*dock_food</calculatedColumnFormula>
    </tableColumn>
    <tableColumn id="29" xr3:uid="{6327048A-17B4-47F0-A6D6-4DF606F8872E}" name="Raw Lumber/hr" dataDxfId="752">
      <calculatedColumnFormula>TblConstr[[#This Row],[Tot Ly]]*ly_lumber + TblConstr[[#This Row],[Tot Hav]]*fh_lumber</calculatedColumnFormula>
    </tableColumn>
    <tableColumn id="30" xr3:uid="{9564EF02-956D-4988-B195-94F7CC0C966B}" name="Raw Mana/hr" dataDxfId="751">
      <calculatedColumnFormula>OFFSET(TblConstr[[#This Row],[Tot Tow]],1,0)*(tower_mana + tech_4_5*TblTech[[#This Row],[4-5]])</calculatedColumnFormula>
    </tableColumn>
    <tableColumn id="31" xr3:uid="{1FCC3E78-11E8-4286-A9C0-F9F5FA32B54A}" name="Raw Ore/hr" dataDxfId="750">
      <calculatedColumnFormula>OFFSET(TblConstr[[#This Row],[Tot OM]],1,0)*om_ore+IF(race="Dwarf",ROUNDDOWN(TblMili[[#This Row],[Unit 2]]/2,0),)</calculatedColumnFormula>
    </tableColumn>
    <tableColumn id="32" xr3:uid="{8AFDB340-E76D-4906-8F67-515703AD5439}" name="Raw Gems/hr" dataDxfId="749">
      <calculatedColumnFormula>OFFSET(TblConstr[[#This Row],[Tot DM]],1,0)*dm_gems</calculatedColumnFormula>
    </tableColumn>
    <tableColumn id="33" xr3:uid="{E86B471A-FB4B-478C-B269-80AA28A99240}" name="...." dataDxfId="748"/>
    <tableColumn id="34" xr3:uid="{9F134F8D-9272-4F13-BEA1-036303BDF806}" name="Bonus Plat/hr" dataDxfId="747">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46">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5">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4">
      <calculatedColumnFormula>race_mana_bonus+ 0 + TblImps[[#This Row],[Towers]] + tech_1_2*TblTech[[#This Row],[1-2]] + tech_3_4*TblTech[[#This Row],[3-4]]</calculatedColumnFormula>
    </tableColumn>
    <tableColumn id="38" xr3:uid="{86499F2E-9498-4D5B-8626-C51CB440415E}" name="Bonux Ore/hr" dataDxfId="743">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2">
      <calculatedColumnFormula>race_gem_bonus+ tech_3_2*TblTech[[#This Row],[3-2]] + tech_4_3*TblTech[[#This Row],[4-3]] + tech_6_2*TblTech[[#This Row],[6-2]]</calculatedColumnFormula>
    </tableColumn>
    <tableColumn id="40" xr3:uid="{13CEE817-130E-4D49-8EA9-E724A91FD06F}" name="…." dataDxfId="741"/>
    <tableColumn id="41" xr3:uid="{6AD9C25C-A77A-4288-B914-DEAB151F3EBD}" name="Food decay" dataDxfId="740">
      <calculatedColumnFormula>TblProd[[#This Row],[Food]]*food_decay * (1 + tech_2_1*TblTech[[#This Row],[2-1]] + tech_2_8*TblTech[[#This Row],[2-8]])</calculatedColumnFormula>
    </tableColumn>
    <tableColumn id="42" xr3:uid="{B67A5DCA-7223-49B6-A0AC-BE56416DEAB6}" name="Food eaten" dataDxfId="739">
      <calculatedColumnFormula>(1+race_food_consumption)*TblPop[[#This Row],[Total]]*food_per_person*(1+tech_1_10*TblTech[[#This Row],[1-10]]+tech_7_5*TblTech[[#This Row],[7-5]])</calculatedColumnFormula>
    </tableColumn>
    <tableColumn id="43" xr3:uid="{2D142E97-FF43-492A-B271-A145B85E0BF3}" name="Lumber rot" dataDxfId="738">
      <calculatedColumnFormula>TblProd[[#This Row],[Lumber]]*lumber_rot * (1 + tech_2_1*TblTech[[#This Row],[2-1]] + tech_2_8*TblTech[[#This Row],[2-8]] + tech_5_2*TblTech[[#This Row],[5-2]])</calculatedColumnFormula>
    </tableColumn>
    <tableColumn id="44" xr3:uid="{B4C1A120-AC06-46C7-8824-18C19DD19A05}" name="Mana drain" dataDxfId="737">
      <calculatedColumnFormula>TblProd[[#This Row],[Mana]]*mana_drain * (1 + tech_2_1*TblTech[[#This Row],[2-1]] + tech_2_8*TblTech[[#This Row],[2-8]])</calculatedColumnFormula>
    </tableColumn>
    <tableColumn id="45" xr3:uid="{D3D223E8-8991-4557-84CB-F59345A9686F}" name="….." dataDxfId="736"/>
    <tableColumn id="46" xr3:uid="{0EFE67ED-4C56-4E46-B6BE-B5FAFB53783E}" name="Expenses Platinum" dataDxfId="735">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4">
      <calculatedColumnFormula>TblConstr[[#This Row],[Total Lum Cost]]+TblImps[[#This Row],[L1]]-TblProd[[#This Row],[Bank Lumber]] + Military!$CH$25*TblMili[[#This Row],[Sec. rec. Cost]]</calculatedColumnFormula>
    </tableColumn>
    <tableColumn id="48" xr3:uid="{3C88EFC6-8DA5-40ED-A97A-2AAFD0B3B6AD}" name="Expenses Mana" dataDxfId="733">
      <calculatedColumnFormula>TblMagic[[#This Row],[Mana cost]] + Military!$CH$26*TblMili[[#This Row],[Sec. rec. Cost]]</calculatedColumnFormula>
    </tableColumn>
    <tableColumn id="49" xr3:uid="{1E4E3815-206F-4A61-AE33-CA14E995FDCB}" name="Expenses Ore" dataDxfId="732">
      <calculatedColumnFormula>Military!$CH$24*TblMili[[#This Row],[Sec. rec. Cost]]+TblImps[[#This Row],[O1]]-TblProd[[#This Row],[Bank Ore]]</calculatedColumnFormula>
    </tableColumn>
    <tableColumn id="50" xr3:uid="{8DF861B9-6D00-413F-82A6-CB9FB4344D68}" name="Expenses Gems" dataDxfId="731">
      <calculatedColumnFormula>TblImps[[#This Row],[G1]]-TblProd[[#This Row],[Bank Gems]]</calculatedColumnFormula>
    </tableColumn>
    <tableColumn id="51" xr3:uid="{B251D943-2DAF-44E5-BCC8-D6734C7115AC}" name="…..." dataDxfId="730"/>
    <tableColumn id="52" xr3:uid="{4B9E6D84-D900-4020-9F03-31B7E7CFFDDD}" name="Guard" dataDxfId="729">
      <calculatedColumnFormula>IF(TblProd[[#This Row],[Set Guard]]&lt;&gt;"",TblProd[[#This Row],[Set Guard]],OFFSET(TblProd[[#This Row],[Guard]],-1,0))</calculatedColumnFormula>
    </tableColumn>
    <tableColumn id="53" xr3:uid="{1F4E66ED-8544-4DEE-A238-E9BA6D663684}" name="Set Guard" dataDxfId="728"/>
    <tableColumn id="54" xr3:uid="{1D4B089E-CFD3-41C4-BDA0-74070303A629}" name="Hour (2)" dataDxfId="727">
      <calculatedColumnFormula>TblProd[[#This Row],[Hour]]</calculatedColumnFormula>
    </tableColumn>
    <tableColumn id="55" xr3:uid="{13D8CC8A-81E1-41BB-9F87-384EE02343C0}" name="Bank Plat" dataDxfId="726">
      <calculatedColumnFormula>-TblProd[[#This Row],[Bank Lumber]] / 2 + -TblProd[[#This Row],[Bank Gems]] * 2</calculatedColumnFormula>
    </tableColumn>
    <tableColumn id="56" xr3:uid="{41D3199A-B537-41B8-A35D-AB3FAE3A7763}" name="Bank Lumber" dataDxfId="725"/>
    <tableColumn id="57" xr3:uid="{F8C6B652-BED5-46E0-B507-4A728112F421}" name="Bank Ore" dataDxfId="724"/>
    <tableColumn id="58" xr3:uid="{0A836235-2002-4186-985F-CF495776E28E}" name="Bank Gems" dataDxfId="723"/>
    <tableColumn id="59" xr3:uid="{56B680F7-B10A-487B-B563-4297DE674256}" name="Time (2)" dataDxfId="722">
      <calculatedColumnFormula>TblProd[[#This Row],[Time]]</calculatedColumnFormula>
    </tableColumn>
    <tableColumn id="60" xr3:uid="{B3E3CCBD-6079-4735-A75E-072E37E0325B}" name="Ok?" dataDxfId="721">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0">
      <calculatedColumnFormula>TblProd[[#This Row],[Platinum]]</calculatedColumnFormula>
    </tableColumn>
    <tableColumn id="62" xr3:uid="{BAE994A1-A5C4-42FD-B88E-93A7F2337723}" name="Stats Food" dataDxfId="719">
      <calculatedColumnFormula>TblProd[[#This Row],[Food]]</calculatedColumnFormula>
    </tableColumn>
    <tableColumn id="63" xr3:uid="{8FF996E7-6950-42AE-80FE-25BD3D3ADB81}" name="Stats Lumber" dataDxfId="718">
      <calculatedColumnFormula>TblProd[[#This Row],[Lumber]]</calculatedColumnFormula>
    </tableColumn>
    <tableColumn id="64" xr3:uid="{4E3282B4-65CE-45FC-B881-93C3F98E36E0}" name="Stats Mana" dataDxfId="717">
      <calculatedColumnFormula>TblProd[[#This Row],[Mana]]</calculatedColumnFormula>
    </tableColumn>
    <tableColumn id="65" xr3:uid="{C1490C22-CEF7-430F-B6CC-F7FDA2F90C17}" name="Stats Ore" dataDxfId="716">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3" dataDxfId="701" totalsRowDxfId="699" headerRowBorderDxfId="702" tableBorderDxfId="700">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8" totalsRowDxfId="697">
      <calculatedColumnFormula>TblRezone[[#This Row],[Hour]]</calculatedColumnFormula>
    </tableColumn>
    <tableColumn id="1" xr3:uid="{16A4A80A-781E-4E74-BC12-3B194ED2F6BF}" name="Barren" dataDxfId="696" totalsRowDxfId="695">
      <calculatedColumnFormula>SUM(TblConstr[[#This Row],[Plain]:[Water]])</calculatedColumnFormula>
    </tableColumn>
    <tableColumn id="2" xr3:uid="{F83194BF-B786-4A33-B371-25BE7289AC68}" name="Buildings" dataDxfId="694" totalsRowDxfId="693">
      <calculatedColumnFormula>SUM(TblConstr[[#This Row],[Tot Hom]:[Tot Doc]])</calculatedColumnFormula>
    </tableColumn>
    <tableColumn id="3" xr3:uid="{343846C5-19E9-4357-B5DD-B105ACEC8C2C}" name="Incoming" dataDxfId="692" totalsRowDxfId="691"/>
    <tableColumn id="4" xr3:uid="{A20911DB-7155-4794-AD46-07AAD44BDAFE}" name="." dataDxfId="690" totalsRowDxfId="689"/>
    <tableColumn id="5" xr3:uid="{279706A5-BDE6-4F21-9D4E-93DD796722CB}" name="Land" dataDxfId="688" totalsRowDxfId="687">
      <calculatedColumnFormula>TblConstr[[#This Row],[Barren]]+TblConstr[[#This Row],[Buildings]]+TblConstr[[#This Row],[Incoming]]</calculatedColumnFormula>
    </tableColumn>
    <tableColumn id="6" xr3:uid="{8D16C913-6FBB-42B5-890E-7AA3F7D780F3}" name="Plain" dataDxfId="686" totalsRowDxfId="685">
      <calculatedColumnFormula>OFFSET(TblConstr[[#This Row],[Plain]],-1,0)+TblConstr[[#This Row],[Ch_Plain]]</calculatedColumnFormula>
    </tableColumn>
    <tableColumn id="7" xr3:uid="{ECABDC59-2CFA-4924-832F-64BD947684FE}" name="Forest" dataDxfId="684" totalsRowDxfId="683">
      <calculatedColumnFormula>OFFSET(TblConstr[[#This Row],[Forest]],-1,0)+TblConstr[[#This Row],[Ch_Forest]]</calculatedColumnFormula>
    </tableColumn>
    <tableColumn id="8" xr3:uid="{AD888BC9-7B2A-431B-912B-F76B183C4BC2}" name="Mountain" dataDxfId="682" totalsRowDxfId="681">
      <calculatedColumnFormula>OFFSET(TblConstr[[#This Row],[Mountain]],-1,0)+TblConstr[[#This Row],[Ch_Mountain]]</calculatedColumnFormula>
    </tableColumn>
    <tableColumn id="9" xr3:uid="{B9F107CC-9E87-47F0-9669-7B4E32869962}" name="Hill" dataDxfId="680" totalsRowDxfId="679">
      <calculatedColumnFormula>OFFSET(TblConstr[[#This Row],[Hill]],-1,0)+TblConstr[[#This Row],[Ch_Hill]]</calculatedColumnFormula>
    </tableColumn>
    <tableColumn id="10" xr3:uid="{8067675A-D7AC-461C-B5B4-B2FDA278D46E}" name="Swamp" dataDxfId="678" totalsRowDxfId="677">
      <calculatedColumnFormula>OFFSET(TblConstr[[#This Row],[Swamp]],-1,0)+TblConstr[[#This Row],[Ch_Swamp]]</calculatedColumnFormula>
    </tableColumn>
    <tableColumn id="11" xr3:uid="{F6E4B820-D719-41FF-A537-55FE6AFBAF0E}" name="Cavern" dataDxfId="676" totalsRowDxfId="675">
      <calculatedColumnFormula>OFFSET(TblConstr[[#This Row],[Cavern]],-1,0)+TblConstr[[#This Row],[Ch_Cavern]]</calculatedColumnFormula>
    </tableColumn>
    <tableColumn id="12" xr3:uid="{54552E9E-E771-4104-87F6-20952C6A2D90}" name="Water" dataDxfId="674" totalsRowDxfId="673">
      <calculatedColumnFormula>OFFSET(TblConstr[[#This Row],[Water]],-1,0)+TblConstr[[#This Row],[Ch_Water]]</calculatedColumnFormula>
    </tableColumn>
    <tableColumn id="112" xr3:uid="{68F0FBE6-EBED-4B66-81D6-A19DB934C48D}" name="Hour  " dataDxfId="672" totalsRowDxfId="671">
      <calculatedColumnFormula>TblRezone[[#This Row],[Hour]]</calculatedColumnFormula>
    </tableColumn>
    <tableColumn id="14" xr3:uid="{6A739C2B-FED1-46DE-A6EC-2761E132E225}" name="Hom" dataDxfId="670" totalsRowDxfId="669"/>
    <tableColumn id="15" xr3:uid="{E50EB7D2-A060-4B91-920B-B3335EF23400}" name="Alc" dataDxfId="668" totalsRowDxfId="667"/>
    <tableColumn id="16" xr3:uid="{E3F8F390-578A-46F4-8079-68503504AE5A}" name="Far" dataDxfId="666" totalsRowDxfId="665"/>
    <tableColumn id="17" xr3:uid="{CC502929-3E3E-483C-AA45-1E8DC6E6F788}" name="Smi" dataDxfId="664" totalsRowDxfId="663"/>
    <tableColumn id="18" xr3:uid="{2849017C-83D2-48CF-BAFC-E8180F6B87B3}" name="Mas" dataDxfId="662" totalsRowDxfId="661"/>
    <tableColumn id="19" xr3:uid="{902080F0-045E-460C-8A94-D28082F0684A}" name="Ly" dataDxfId="660" totalsRowDxfId="659"/>
    <tableColumn id="20" xr3:uid="{74F11359-7A83-40C9-8D72-4E7342A4C5F6}" name="Hav" dataDxfId="658" totalsRowDxfId="657"/>
    <tableColumn id="21" xr3:uid="{2F4CD982-1BA1-4887-BEEF-D1CEDDFDCD98}" name="OM" dataDxfId="656" totalsRowDxfId="655"/>
    <tableColumn id="22" xr3:uid="{8FB86139-1373-407A-B799-7C5D49EF3A26}" name="GN" dataDxfId="654" totalsRowDxfId="653"/>
    <tableColumn id="23" xr3:uid="{283576BE-DC2F-4C4A-B83A-40303ED03A64}" name="Fac" dataDxfId="652" totalsRowDxfId="651"/>
    <tableColumn id="24" xr3:uid="{5CFB0CBF-3773-41F6-9B86-E1678AA28900}" name="GT" dataDxfId="650" totalsRowDxfId="649"/>
    <tableColumn id="25" xr3:uid="{19E4F682-9015-4478-9312-A3022D1FEEE9}" name="Bar" dataDxfId="648" totalsRowDxfId="647"/>
    <tableColumn id="26" xr3:uid="{013252D4-D385-4331-9170-92B5C8BB4C64}" name="Shr" dataDxfId="646" totalsRowDxfId="645"/>
    <tableColumn id="27" xr3:uid="{D4B27941-E688-419F-8B6F-B73F6CF2AB5B}" name="Tow" dataDxfId="644" totalsRowDxfId="643"/>
    <tableColumn id="28" xr3:uid="{17047BB4-364B-45DB-830B-858C7BD30B39}" name="Tem" dataDxfId="642" totalsRowDxfId="641"/>
    <tableColumn id="29" xr3:uid="{8910E8E2-8D7F-45E2-8559-CB4F40D25EB8}" name="WG" dataDxfId="640" totalsRowDxfId="639"/>
    <tableColumn id="30" xr3:uid="{BDAAD77D-88DB-4E61-9C07-44CAE4913F4B}" name="DM" dataDxfId="638" totalsRowDxfId="637"/>
    <tableColumn id="31" xr3:uid="{BFDB5F50-9A23-4E21-AEF0-8F150174C5D9}" name="Sch" dataDxfId="636" totalsRowDxfId="635"/>
    <tableColumn id="32" xr3:uid="{F4596035-B7F8-4B94-9B36-37B190EBF2F5}" name="Doc" dataDxfId="634" totalsRowDxfId="633"/>
    <tableColumn id="33" xr3:uid="{B506678F-5C96-41A2-B16E-01903002457C}" name="time" dataDxfId="632" totalsRowDxfId="631">
      <calculatedColumnFormula>TblImps[[#This Row],[Time]]</calculatedColumnFormula>
    </tableColumn>
    <tableColumn id="34" xr3:uid="{BBF9E4A7-4AD1-4256-838E-84E222A5E5B5}" name="Facs -DB" dataDxfId="630" totalsRowDxfId="629" dataCellStyle="Percent">
      <calculatedColumnFormula>MIN(25%,(TblConstr[[#This Row],[Tot Fac]]+TblConstr[[#This Row],[Dest Fac]])/(TblConstr[[#This Row],[Land]]-TblExplore[[#This Row],[Land Bonus]]*20))</calculatedColumnFormula>
    </tableColumn>
    <tableColumn id="35" xr3:uid="{CE9651FB-E7AA-4AC3-9369-D03ACA26B669}" name="Facs DB" dataDxfId="628" totalsRowDxfId="627" dataCellStyle="Percent">
      <calculatedColumnFormula>MIN(25%,(TblConstr[[#This Row],[Tot Fac]]+TblConstr[[#This Row],[Dest Fac]])/TblConstr[[#This Row],[Land]])</calculatedColumnFormula>
    </tableColumn>
    <tableColumn id="36" xr3:uid="{09991F89-DEAA-4698-A25A-D13F6565EDD4}" name="Platinum" dataDxfId="626" totalsRowDxfId="625">
      <calculatedColumnFormula>TblProd[[#This Row],[Platinum]]</calculatedColumnFormula>
    </tableColumn>
    <tableColumn id="37" xr3:uid="{98B47891-EB31-4D7F-8AC4-80255A877681}" name="Lumber" dataDxfId="624" totalsRowDxfId="623">
      <calculatedColumnFormula>TblProd[[#This Row],[Lumber]]</calculatedColumnFormula>
    </tableColumn>
    <tableColumn id="38" xr3:uid="{4BCC987F-ABDB-4939-B66E-9E39DDB56076}" name="CPA Platinum -DB" dataDxfId="622" totalsRowDxfId="621">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0" totalsRowDxfId="619">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8" totalsRowDxfId="61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41" xr3:uid="{15C632B7-926C-4076-A877-6D078E469E57}" name="CPA Lumber DB" dataDxfId="616" totalsRowDxfId="61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2" xr3:uid="{F294E6A7-F74E-45B4-8F73-041334C1C989}" name="Total Plat Cost" dataDxfId="614" totalsRowDxfId="613">
      <calculatedColumnFormula>TblConstr[[#This Row],[build -db]]*TblConstr[[#This Row],[CPA Platinum -DB]] + TblConstr[[#This Row],[build db]]*TblConstr[[#This Row],[CPA Platinum DB]]</calculatedColumnFormula>
    </tableColumn>
    <tableColumn id="43" xr3:uid="{F2E3CBCF-A243-4043-87E8-17546293A159}" name="Total Lum Cost" dataDxfId="612" totalsRowDxfId="611">
      <calculatedColumnFormula>TblConstr[[#This Row],[build -db]]*TblConstr[[#This Row],[CPA Lumber -DB]]+TblConstr[[#This Row],[build db]]*TblConstr[[#This Row],[CPA Lumber DB]]</calculatedColumnFormula>
    </tableColumn>
    <tableColumn id="44" xr3:uid="{119F0A26-AFE5-4C99-86DF-E2019D697B1F}" name="build -db" dataDxfId="610" totalsRowDxfId="609">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8" totalsRowDxfId="607">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6" totalsRowDxfId="605"/>
    <tableColumn id="47" xr3:uid="{2AB27BA8-C2B6-44FC-89D1-B8C469C03A31}" name="RCPA Platinum " dataDxfId="604" totalsRowDxfId="603">
      <calculatedColumnFormula>ROUND((MAX(TblConstr[[#This Row],[Buildings]],250,0.75*TblConstr[[#This Row],[Land]])-250) * 1.53 + 850,0)</calculatedColumnFormula>
    </tableColumn>
    <tableColumn id="48" xr3:uid="{745E4D31-3689-4F62-A15B-2D5399E746CA}" name="RCPA Lumber" dataDxfId="602" totalsRowDxfId="601">
      <calculatedColumnFormula>ROUND((MAX(TblConstr[[#This Row],[Buildings]],250,0.75*TblConstr[[#This Row],[Land]])-250) * 0.35+87.5,0)</calculatedColumnFormula>
    </tableColumn>
    <tableColumn id="49" xr3:uid="{619C112A-EE5A-4710-AF52-5843FF4DB054}" name="…" dataDxfId="600" totalsRowDxfId="599"/>
    <tableColumn id="50" xr3:uid="{F2846ED2-FD2C-4B82-8D89-DEC4D6C89C45}" name="Tot Hom" dataDxfId="598" totalsRowDxfId="597">
      <calculatedColumnFormula array="1">IF(TblConstr[[#This Row],[Hour]:[Hour]]&gt;12,OFFSET(TblConstr[[#This Row],[Hom]],-12,0),0)+OFFSET(TblConstr[[#This Row],[Tot Hom]],-1,0)-TblConstr[[#This Row],[Dest Hom]]</calculatedColumnFormula>
    </tableColumn>
    <tableColumn id="51" xr3:uid="{3A820279-E5AD-460C-8EA2-56927C664532}" name="Tot Alc" dataDxfId="596" totalsRowDxfId="595">
      <calculatedColumnFormula array="1">IF(TblConstr[[#This Row],[Hour]:[Hour]]&gt;12,OFFSET(TblConstr[[#This Row],[Alc]],-12,0),0)+OFFSET(TblConstr[[#This Row],[Tot Alc]],-1,0)-TblConstr[[#This Row],[Dest Alc]]</calculatedColumnFormula>
    </tableColumn>
    <tableColumn id="52" xr3:uid="{2F201F1F-E604-470C-A21C-EF43882A5460}" name="Tot Farm" dataDxfId="594" totalsRowDxfId="593">
      <calculatedColumnFormula array="1">IF(TblConstr[[#This Row],[Hour]:[Hour]]&gt;12,OFFSET(TblConstr[[#This Row],[Far]],-12,0),0)+OFFSET(TblConstr[[#This Row],[Tot Farm]],-1,0)-TblConstr[[#This Row],[Dest Farm]]</calculatedColumnFormula>
    </tableColumn>
    <tableColumn id="53" xr3:uid="{CF25F1ED-4CEE-4702-9FD7-472555CAE1E7}" name="Tot Smi" dataDxfId="592" totalsRowDxfId="591">
      <calculatedColumnFormula array="1">IF(TblConstr[[#This Row],[Hour]:[Hour]]&gt;12,OFFSET(TblConstr[[#This Row],[Smi]],-12,0),0)+OFFSET(TblConstr[[#This Row],[Tot Smi]],-1,0)-TblConstr[[#This Row],[Dest Smi]]</calculatedColumnFormula>
    </tableColumn>
    <tableColumn id="54" xr3:uid="{AA2380E5-3483-49DB-91B7-F7447D6C17A7}" name="Tot Mas" dataDxfId="590" totalsRowDxfId="589">
      <calculatedColumnFormula array="1">IF(TblConstr[[#This Row],[Hour]:[Hour]]&gt;12,OFFSET(TblConstr[[#This Row],[Mas]],-12,0),0)+OFFSET(TblConstr[[#This Row],[Tot Mas]],-1,0)-TblConstr[[#This Row],[Dest Mas]]</calculatedColumnFormula>
    </tableColumn>
    <tableColumn id="55" xr3:uid="{9983477D-EC22-4053-88C9-D53436C89351}" name="Tot Ly" dataDxfId="588" totalsRowDxfId="587">
      <calculatedColumnFormula array="1">IF(TblConstr[[#This Row],[Hour]:[Hour]]&gt;12,OFFSET(TblConstr[[#This Row],[Ly]],-12,0),0)+OFFSET(TblConstr[[#This Row],[Tot Ly]],-1,0)-TblConstr[[#This Row],[Dest Ly]]</calculatedColumnFormula>
    </tableColumn>
    <tableColumn id="56" xr3:uid="{0A8A610F-D674-4772-9EB7-EC610164DF60}" name="Tot Hav" dataDxfId="586" totalsRowDxfId="585">
      <calculatedColumnFormula array="1">IF(TblConstr[[#This Row],[Hour]:[Hour]]&gt;12,OFFSET(TblConstr[[#This Row],[Hav]],-12,0),0)+OFFSET(TblConstr[[#This Row],[Tot Hav]],-1,0)-TblConstr[[#This Row],[Dest Hav]]</calculatedColumnFormula>
    </tableColumn>
    <tableColumn id="57" xr3:uid="{40570349-3AA5-42B4-9820-CC736C2D1B3D}" name="Tot OM" dataDxfId="584" totalsRowDxfId="583">
      <calculatedColumnFormula array="1">IF(TblConstr[[#This Row],[Hour]:[Hour]]&gt;12,OFFSET(TblConstr[[#This Row],[OM]],-12,0),0)+OFFSET(TblConstr[[#This Row],[Tot OM]],-1,0)-TblConstr[[#This Row],[Dest OM]]</calculatedColumnFormula>
    </tableColumn>
    <tableColumn id="58" xr3:uid="{D7C1895E-C93F-4CEE-BB20-88F13C3DA864}" name="Tot GN" dataDxfId="582" totalsRowDxfId="581">
      <calculatedColumnFormula array="1">IF(TblConstr[[#This Row],[Hour]:[Hour]]&gt;12,OFFSET(TblConstr[[#This Row],[GN]],-12,0),0)+OFFSET(TblConstr[[#This Row],[Tot GN]],-1,0)-TblConstr[[#This Row],[Dest GN]]</calculatedColumnFormula>
    </tableColumn>
    <tableColumn id="59" xr3:uid="{6C106580-CB33-4C2F-8B4D-856AC68AA85B}" name="Tot Fac" dataDxfId="580" totalsRowDxfId="579">
      <calculatedColumnFormula array="1">IF(TblConstr[[#This Row],[Hour]:[Hour]]&gt;12,OFFSET(TblConstr[[#This Row],[Fac]],-12,0),0)+OFFSET(TblConstr[[#This Row],[Tot Fac]],-1,0)-TblConstr[[#This Row],[Dest Fac]]</calculatedColumnFormula>
    </tableColumn>
    <tableColumn id="60" xr3:uid="{D3A39C76-EE6D-4C40-B64E-12EE496ACF75}" name="Tot GT" dataDxfId="578" totalsRowDxfId="577">
      <calculatedColumnFormula array="1">IF(TblConstr[[#This Row],[Hour]:[Hour]]&gt;12,OFFSET(TblConstr[[#This Row],[GT]],-12,0),0)+OFFSET(TblConstr[[#This Row],[Tot GT]],-1,0)-TblConstr[[#This Row],[Dest GT]]</calculatedColumnFormula>
    </tableColumn>
    <tableColumn id="61" xr3:uid="{3C88629E-DBB8-4626-8826-42DE21B8CCF3}" name="Tot Bar" dataDxfId="576" totalsRowDxfId="575">
      <calculatedColumnFormula array="1">IF(TblConstr[[#This Row],[Hour]:[Hour]]&gt;12,OFFSET(TblConstr[[#This Row],[Bar]],-12,0),0)+OFFSET(TblConstr[[#This Row],[Tot Bar]],-1,0)-TblConstr[[#This Row],[Dest Bar]]</calculatedColumnFormula>
    </tableColumn>
    <tableColumn id="62" xr3:uid="{9B339DEA-0599-4758-9D02-2BCE3EA7ACC3}" name="Tot Shr" dataDxfId="574" totalsRowDxfId="573">
      <calculatedColumnFormula array="1">IF(TblConstr[[#This Row],[Hour]:[Hour]]&gt;12,OFFSET(TblConstr[[#This Row],[Shr]],-12,0),0)+OFFSET(TblConstr[[#This Row],[Tot Shr]],-1,0)-TblConstr[[#This Row],[Dest Shr]]</calculatedColumnFormula>
    </tableColumn>
    <tableColumn id="63" xr3:uid="{BC8AAD30-881D-4FF0-9567-7FF1D9791913}" name="Tot Tow" dataDxfId="572" totalsRowDxfId="571">
      <calculatedColumnFormula array="1">IF(TblConstr[[#This Row],[Hour]:[Hour]]&gt;12,OFFSET(TblConstr[[#This Row],[Tow]],-12,0),0)+OFFSET(TblConstr[[#This Row],[Tot Tow]],-1,0)-TblConstr[[#This Row],[Dest Tow]]</calculatedColumnFormula>
    </tableColumn>
    <tableColumn id="64" xr3:uid="{59A3F80D-5052-4FDF-AF65-62DB182FD6A6}" name="Tot Tem" dataDxfId="570" totalsRowDxfId="569">
      <calculatedColumnFormula array="1">IF(TblConstr[[#This Row],[Hour]:[Hour]]&gt;12,OFFSET(TblConstr[[#This Row],[Tem]],-12,0),0)+OFFSET(TblConstr[[#This Row],[Tot Tem]],-1,0)-TblConstr[[#This Row],[Dest Tem]]</calculatedColumnFormula>
    </tableColumn>
    <tableColumn id="65" xr3:uid="{00A352BB-E75B-4E3F-AC3D-1D0DC0813148}" name="Tot WG" dataDxfId="568" totalsRowDxfId="567">
      <calculatedColumnFormula array="1">IF(TblConstr[[#This Row],[Hour]:[Hour]]&gt;12,OFFSET(TblConstr[[#This Row],[WG]],-12,0),0)+OFFSET(TblConstr[[#This Row],[Tot WG]],-1,0)-TblConstr[[#This Row],[Dest WG]]</calculatedColumnFormula>
    </tableColumn>
    <tableColumn id="66" xr3:uid="{AC79E3B7-8BF6-4AEF-AACC-9BCCADEEE9EC}" name="Tot DM" dataDxfId="566" totalsRowDxfId="565">
      <calculatedColumnFormula array="1">IF(TblConstr[[#This Row],[Hour]:[Hour]]&gt;12,OFFSET(TblConstr[[#This Row],[DM]],-12,0),0)+OFFSET(TblConstr[[#This Row],[Tot DM]],-1,0)-TblConstr[[#This Row],[Dest DM]]</calculatedColumnFormula>
    </tableColumn>
    <tableColumn id="67" xr3:uid="{0CFFF054-0F8D-4B14-9366-77ABD3382DE4}" name="Tot Sch" dataDxfId="564" totalsRowDxfId="563">
      <calculatedColumnFormula array="1">IF(TblConstr[[#This Row],[Hour]:[Hour]]&gt;12,OFFSET(TblConstr[[#This Row],[Sch]],-12,0),0)+OFFSET(TblConstr[[#This Row],[Tot Sch]],-1,0)-TblConstr[[#This Row],[Dest Sch]]</calculatedColumnFormula>
    </tableColumn>
    <tableColumn id="68" xr3:uid="{EEBD7864-CCF1-4E52-A4D7-93474D156483}" name="Tot Doc" dataDxfId="562" totalsRowDxfId="561">
      <calculatedColumnFormula array="1">IF(TblConstr[[#This Row],[Hour]:[Hour]]&gt;12,OFFSET(TblConstr[[#This Row],[Doc]],-12,0),0)+OFFSET(TblConstr[[#This Row],[Tot Doc]],-1,0)-TblConstr[[#This Row],[Dest Doc]]</calculatedColumnFormula>
    </tableColumn>
    <tableColumn id="69" xr3:uid="{9CB7D1EC-8231-4E29-AF89-78480EAACCBE}" name="…." dataDxfId="560" totalsRowDxfId="559"/>
    <tableColumn id="70" xr3:uid="{8AB60EC6-2503-4C64-93B5-EF0A15817646}" name="….." dataDxfId="558" totalsRowDxfId="557"/>
    <tableColumn id="71" xr3:uid="{E322C618-2AF7-4E39-8C00-05DB78D1E3E1}" name="Land (2)" dataDxfId="556" totalsRowDxfId="555">
      <calculatedColumnFormula>TblConstr[[#This Row],[Land]]</calculatedColumnFormula>
    </tableColumn>
    <tableColumn id="72" xr3:uid="{03634B5C-154E-4AC8-80E1-BA13BC9D96CD}" name="Time (2)" dataDxfId="554" totalsRowDxfId="553">
      <calculatedColumnFormula>TblImps[[#This Row],[Time]]</calculatedColumnFormula>
    </tableColumn>
    <tableColumn id="73" xr3:uid="{B2BF9056-6EBE-4C01-A8BD-B72B49E563E4}" name="…..." dataDxfId="552" totalsRowDxfId="551"/>
    <tableColumn id="74" xr3:uid="{E1DF0DF3-108E-4B1D-AD0D-B0438E0119B4}" name="Dest Hom" dataDxfId="550" totalsRowDxfId="549"/>
    <tableColumn id="75" xr3:uid="{E9A56C16-CD83-4CF4-801D-3F07F7F4410E}" name="Dest Alc" dataDxfId="548" totalsRowDxfId="547"/>
    <tableColumn id="76" xr3:uid="{83CFBDA2-FADE-4B08-B33E-9C2E9F9BF768}" name="Dest Farm" dataDxfId="546" totalsRowDxfId="545"/>
    <tableColumn id="77" xr3:uid="{19187257-0444-44F4-9D3D-6D0323F40019}" name="Dest Smi" dataDxfId="544" totalsRowDxfId="543"/>
    <tableColumn id="78" xr3:uid="{868AFE18-6FA1-48AB-ABF5-2F2AEFE5F988}" name="Dest Mas" dataDxfId="542" totalsRowDxfId="541"/>
    <tableColumn id="79" xr3:uid="{177B6B53-2F11-4209-8387-13A45749227F}" name="Dest Ly" dataDxfId="540" totalsRowDxfId="539"/>
    <tableColumn id="80" xr3:uid="{7546C506-76A9-4C40-A0E7-9A9D9E5AABE5}" name="Dest Hav" dataDxfId="538" totalsRowDxfId="537"/>
    <tableColumn id="81" xr3:uid="{ADDB86A6-E781-4DBE-8117-6F690916DDFA}" name="Dest OM" dataDxfId="536" totalsRowDxfId="535"/>
    <tableColumn id="82" xr3:uid="{B9BF98EC-18BF-465D-9531-8B38D89E91A0}" name="Dest GN" dataDxfId="534" totalsRowDxfId="533"/>
    <tableColumn id="83" xr3:uid="{E7A6D253-F3B2-42C8-99DD-B144C58FC0C5}" name="Dest Fac" dataDxfId="532" totalsRowDxfId="531"/>
    <tableColumn id="84" xr3:uid="{17104BBD-FC27-4D10-B29C-0273D3241FF4}" name="Dest GT" dataDxfId="530" totalsRowDxfId="529"/>
    <tableColumn id="85" xr3:uid="{99559D62-4D78-440A-98FE-DEBB129B435F}" name="Dest Bar" dataDxfId="528" totalsRowDxfId="527"/>
    <tableColumn id="86" xr3:uid="{9B2EEB8C-2FE8-47EE-A3E2-DC10DB45C7AB}" name="Dest Shr" dataDxfId="526" totalsRowDxfId="525"/>
    <tableColumn id="87" xr3:uid="{514D2AAA-E6E3-475E-9F65-8C732A78896D}" name="Dest Tow" dataDxfId="524" totalsRowDxfId="523"/>
    <tableColumn id="88" xr3:uid="{FAB7F148-62FD-4A01-9E52-E72AB5D98A80}" name="Dest Tem" dataDxfId="522" totalsRowDxfId="521"/>
    <tableColumn id="89" xr3:uid="{51F0AAF8-EA25-41BB-8274-29128D8E9309}" name="Dest WG" dataDxfId="520" totalsRowDxfId="519"/>
    <tableColumn id="90" xr3:uid="{B5DD0E4A-F9DA-46DF-AC1D-4C082F96D4FD}" name="Dest DM" dataDxfId="518" totalsRowDxfId="517"/>
    <tableColumn id="91" xr3:uid="{8374E536-FAFB-4695-B2E9-40E6A61A9D8E}" name="Dest Sch" dataDxfId="516" totalsRowDxfId="515"/>
    <tableColumn id="92" xr3:uid="{AB6E075B-E076-40E6-B2ED-7DBD5C2545B9}" name="Dest Doc" dataDxfId="514" totalsRowDxfId="513"/>
    <tableColumn id="93" xr3:uid="{A4B6EEF5-D4D4-4B9E-B020-F892CB1DC5F1}" name="…...." dataDxfId="512" totalsRowDxfId="511"/>
    <tableColumn id="94" xr3:uid="{A8785F66-A063-4182-BB5F-F2E489C44B8C}" name="Ch_Plain" dataDxfId="510" totalsRowDxfId="509">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08" totalsRowDxfId="507">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6" totalsRowDxfId="505">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4" totalsRowDxfId="503">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2" totalsRowDxfId="501">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0" totalsRowDxfId="499">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498" totalsRowDxfId="497">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6" totalsRowDxfId="495">
      <calculatedColumnFormula>IF(Explore!S4=1,20) - TblConstr[[#This Row],[Hom]] + TblConstr[[#This Row],[Dest Hom]]</calculatedColumnFormula>
    </tableColumn>
    <tableColumn id="102" xr3:uid="{A18B5339-7B5E-4FF1-B44C-54D91E2619B1}" name="…....." dataDxfId="494" totalsRowDxfId="493"/>
    <tableColumn id="103" xr3:uid="{4E3EEDB6-D8CB-4DA1-AC9F-29019C9A6FFC}" name="Total Plain" dataDxfId="492" totalsRowDxfId="491"/>
    <tableColumn id="104" xr3:uid="{669C7BA0-B3F2-47DA-B10D-81C2466FF6F3}" name="Total Forest" dataDxfId="490" totalsRowDxfId="489"/>
    <tableColumn id="105" xr3:uid="{B6EE778A-6E52-44FF-8691-B86F1650C2C2}" name="Total Mountain" dataDxfId="488" totalsRowDxfId="487"/>
    <tableColumn id="106" xr3:uid="{5FF89BD6-7921-4110-AD96-EA8B54555F1C}" name="Total Hill" dataDxfId="486" totalsRowDxfId="485"/>
    <tableColumn id="107" xr3:uid="{F920559E-5C73-4899-BC53-A9BA9E7DFC0C}" name="Total Swamp" dataDxfId="484" totalsRowDxfId="483"/>
    <tableColumn id="108" xr3:uid="{6462BCCF-F375-4DEC-B000-637E1187AA5E}" name="Total Cavern" dataDxfId="482" totalsRowDxfId="481"/>
    <tableColumn id="109" xr3:uid="{D966B8E0-E2CD-4374-AF05-B86C330B3BD4}" name="Total Water" dataDxfId="480" totalsRowDxfId="479"/>
    <tableColumn id="110" xr3:uid="{170A4E12-F563-448F-8964-EB5CA71BA3AF}" name="Homeland" dataDxfId="478" totalsRowDxfId="477">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6" totalsRowDxfId="475"/>
    <tableColumn id="114" xr3:uid="{EDC1B5E1-1E93-4946-BEC7-453EF5B18C9F}" name="Farms" dataDxfId="474" totalsRowDxfId="473">
      <calculatedColumnFormula>MAX(BA4-BA3,0)</calculatedColumnFormula>
    </tableColumn>
    <tableColumn id="115" xr3:uid="{1D02A65C-E8F6-4B66-A5EB-3699A9BE61C5}" name="Docks" totalsRowFunction="sum" dataDxfId="472" totalsRowDxfId="471">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2" dataDxfId="461" tableBorderDxfId="460">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59">
      <calculatedColumnFormula>TblRezone[[#This Row],[Hour]]</calculatedColumnFormula>
    </tableColumn>
    <tableColumn id="2" xr3:uid="{DFB120B6-BC70-4091-A005-99D4961CB538}" name="Land" dataDxfId="458">
      <calculatedColumnFormula>TblConstr[[#This Row],[Land]]</calculatedColumnFormula>
    </tableColumn>
    <tableColumn id="3" xr3:uid="{05C32193-1764-4A8E-B877-789E51BD1927}" name="." dataDxfId="457"/>
    <tableColumn id="4" xr3:uid="{2DBA3229-29BD-4F1F-B6CD-9E822C9071D7}" name="Plains" dataDxfId="456">
      <calculatedColumnFormula>TblConstr[[#This Row],[Plain]]</calculatedColumnFormula>
    </tableColumn>
    <tableColumn id="5" xr3:uid="{3D1FE633-D61E-4157-92AE-5E68F0C48770}" name="Forest" dataDxfId="455">
      <calculatedColumnFormula>TblConstr[[#This Row],[Forest]]</calculatedColumnFormula>
    </tableColumn>
    <tableColumn id="6" xr3:uid="{D9ABEDC6-9211-428A-B587-3CA9C3BF9744}" name="Mountn" dataDxfId="454">
      <calculatedColumnFormula>TblConstr[[#This Row],[Mountain]]</calculatedColumnFormula>
    </tableColumn>
    <tableColumn id="7" xr3:uid="{190BAA64-9D9E-4080-878D-BF035387620E}" name="Hills" dataDxfId="453">
      <calculatedColumnFormula>TblConstr[[#This Row],[Hill]]</calculatedColumnFormula>
    </tableColumn>
    <tableColumn id="8" xr3:uid="{812744CE-DEB7-4A8A-8374-CD5852E8C168}" name="Swamp" dataDxfId="452">
      <calculatedColumnFormula>TblConstr[[#This Row],[Swamp]]</calculatedColumnFormula>
    </tableColumn>
    <tableColumn id="9" xr3:uid="{96D79F63-015A-4655-975B-A1C99185A034}" name="Caverns" dataDxfId="451">
      <calculatedColumnFormula>TblConstr[[#This Row],[Cavern]]</calculatedColumnFormula>
    </tableColumn>
    <tableColumn id="10" xr3:uid="{607DA3E5-8D4A-44F4-A35C-DDAF32BE627C}" name="Water" dataDxfId="450">
      <calculatedColumnFormula>TblConstr[[#This Row],[Water]]</calculatedColumnFormula>
    </tableColumn>
    <tableColumn id="11" xr3:uid="{12EC2AC2-5FD3-4D82-8C37-DB70DCC56DC2}" name="Column2" dataDxfId="449"/>
    <tableColumn id="12" xr3:uid="{B171FE82-C8DE-44A1-89CE-409ED8DDD9D4}" name="Column3" dataDxfId="448"/>
    <tableColumn id="13" xr3:uid="{8C0085EE-E99F-4C98-9D66-144A50E3623C}" name="Column4" dataDxfId="447"/>
    <tableColumn id="14" xr3:uid="{5686D8FB-FF86-4148-AF9E-C03A97A84AF3}" name="Smithies" dataDxfId="446" dataCellStyle="Percent">
      <calculatedColumnFormula>TblMili[[#This Row],[Smithies]]</calculatedColumnFormula>
    </tableColumn>
    <tableColumn id="15" xr3:uid="{A0DC0A41-1987-4EE6-99BA-624DB6ACB9BF}" name="Employm." dataDxfId="445" dataCellStyle="Percent">
      <calculatedColumnFormula>TblPop[[#This Row],[Employment]]</calculatedColumnFormula>
    </tableColumn>
    <tableColumn id="16" xr3:uid="{7B85DEA6-C72D-4EAB-B18F-155B3A80E27B}" name="Popul." dataDxfId="444" dataCellStyle="Percent">
      <calculatedColumnFormula>TblImps[[#This Row],[Population]]</calculatedColumnFormula>
    </tableColumn>
    <tableColumn id="17" xr3:uid="{0BE33934-A790-4489-A3A2-E553E3C4AAEE}" name="Land (2)" dataDxfId="443">
      <calculatedColumnFormula>TblExplore[[#This Row],[Land]]</calculatedColumnFormula>
    </tableColumn>
    <tableColumn id="18" xr3:uid="{1EE849E8-6296-4479-BDA2-30E4622212E0}" name="Hour (2)" dataDxfId="442">
      <calculatedColumnFormula>TblExplore[[#This Row],[Hour]]</calculatedColumnFormula>
    </tableColumn>
    <tableColumn id="19" xr3:uid="{802EC67C-58E0-4E2B-9471-52B76B3F516A}" name="Land Bonus" dataDxfId="441"/>
    <tableColumn id="20" xr3:uid="{B1DC4E54-695A-4FE1-A303-67B047732E38}" name="Plains Explore" dataDxfId="440"/>
    <tableColumn id="21" xr3:uid="{28A63039-E9F4-4C91-BC61-38AFA90CBBA3}" name="Forest Explore" dataDxfId="439"/>
    <tableColumn id="22" xr3:uid="{52A3F218-67B7-4353-9DCD-90E402F80D3A}" name="Mountain Explore" dataDxfId="438"/>
    <tableColumn id="23" xr3:uid="{CADD78BB-1A84-4EF1-B568-74D7A7333BED}" name="Hill Explore" dataDxfId="437"/>
    <tableColumn id="24" xr3:uid="{86B12DCD-5E50-4631-800C-3D06D0C8407F}" name="Swamp Explore" dataDxfId="436"/>
    <tableColumn id="25" xr3:uid="{41A3F8D1-C19F-4B01-A125-BD6C5BE75F1D}" name="Cavern Explore" dataDxfId="435"/>
    <tableColumn id="26" xr3:uid="{DD83E77E-8C71-44A7-BF29-B8595544CC0D}" name="Water Explore" dataDxfId="434"/>
    <tableColumn id="27" xr3:uid="{6F68BDB2-663F-44CE-A108-1184CFBBBFB9}" name="Time" dataDxfId="433">
      <calculatedColumnFormula>TblImps[[#This Row],[Real time]]</calculatedColumnFormula>
    </tableColumn>
    <tableColumn id="28" xr3:uid="{0FBA88C1-4190-4A95-897B-20B88A072234}" name="Draftees" dataDxfId="432">
      <calculatedColumnFormula>TblMili[[#This Row],[Draftees]]</calculatedColumnFormula>
    </tableColumn>
    <tableColumn id="29" xr3:uid="{4EFD1992-02FD-4356-A327-EBEED01908DD}" name="Platinum" dataDxfId="431">
      <calculatedColumnFormula>TblProd[[#This Row],[Platinum]]</calculatedColumnFormula>
    </tableColumn>
    <tableColumn id="30" xr3:uid="{3D9A7B33-B273-4A01-8F7D-822B1BEB344B}" name=".." dataDxfId="430"/>
    <tableColumn id="31" xr3:uid="{EDB0F070-B31D-4B00-90A6-0A190E3CA80B}" name="Land-DB" dataDxfId="429">
      <calculatedColumnFormula>TblExplore[[#This Row],[Land]]-TblExplore[[#This Row],[Land Bonus]]*20</calculatedColumnFormula>
    </tableColumn>
    <tableColumn id="32" xr3:uid="{B94D1074-50E9-44F1-8957-6BE450DE4BF0}" name="Plat/acre" dataDxfId="428">
      <calculatedColumnFormula>ROUND(IF(TblExplore[[#This Row],[Land-DB]] &gt;= 300, 1000 + 3*((TblExplore[[#This Row],[Land-DB]]-300)^(MAX(MIN(TblExplore[[#This Row],[Land-DB]]^0.0185/1.05,1.121),1.09))), 1000 - (3 * (300-TblExplore[[#This Row],[Land-DB]])))*(1+ tech_2_6*Techs!AC4 + tech_2_9*Techs!AF4 + tech_3_7*Techs!AN4 + Overview!$I$32),0)</calculatedColumnFormula>
    </tableColumn>
    <tableColumn id="33" xr3:uid="{F0CBDA56-E75F-4156-B9BD-681857934D22}" name="Draftees/acre" dataDxfId="427">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6">
      <calculatedColumnFormula>SUM(TblExplore[[#This Row],[Plains Explore]:[Water Explore]])*TblExplore[[#This Row],[Plat/acre]]</calculatedColumnFormula>
    </tableColumn>
    <tableColumn id="35" xr3:uid="{61575F8F-5343-43C9-858D-AF8501368779}" name="Draftees (2)" dataDxfId="425">
      <calculatedColumnFormula>SUM(TblExplore[[#This Row],[Plains Explore]:[Water Explore]])*TblExplore[[#This Row],[Draftees/acre]]</calculatedColumnFormula>
    </tableColumn>
    <tableColumn id="36" xr3:uid="{BD4C2C0C-7F81-4BE8-9828-9CFCFFAFF394}" name="Max Explore" dataDxfId="424">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4" dataDxfId="413" tableBorderDxfId="412">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1">
      <calculatedColumnFormula>TblConstr[[#This Row],[Land]]</calculatedColumnFormula>
    </tableColumn>
    <tableColumn id="2" xr3:uid="{09D3C0EB-2481-406C-ABC2-3B9FE0683D68}" name="Plains" dataDxfId="410">
      <calculatedColumnFormula>TblConstr[[#This Row],[Plain]]</calculatedColumnFormula>
    </tableColumn>
    <tableColumn id="3" xr3:uid="{E95763D4-88E5-487A-9912-CB5FED512375}" name="Forest" dataDxfId="409">
      <calculatedColumnFormula>TblConstr[[#This Row],[Forest]]</calculatedColumnFormula>
    </tableColumn>
    <tableColumn id="4" xr3:uid="{62B2173B-885E-48E7-B615-089739267B8E}" name="Mountains" dataDxfId="408">
      <calculatedColumnFormula>TblConstr[[#This Row],[Mountain]]</calculatedColumnFormula>
    </tableColumn>
    <tableColumn id="5" xr3:uid="{4FA61465-41A2-4497-AB2D-7B63B7113E12}" name="Hills" dataDxfId="407">
      <calculatedColumnFormula>TblConstr[[#This Row],[Hill]]</calculatedColumnFormula>
    </tableColumn>
    <tableColumn id="6" xr3:uid="{FC27A0D5-6BB5-414B-8DEB-98AD07E7EBFF}" name="Swamp" dataDxfId="406">
      <calculatedColumnFormula>TblConstr[[#This Row],[Swamp]]</calculatedColumnFormula>
    </tableColumn>
    <tableColumn id="7" xr3:uid="{E95EDCE9-4D0A-4F4F-80D0-F52A495BDAE2}" name="Caverns" dataDxfId="405">
      <calculatedColumnFormula>TblConstr[[#This Row],[Cavern]]</calculatedColumnFormula>
    </tableColumn>
    <tableColumn id="8" xr3:uid="{4D162EFF-D831-41C8-9A17-B9113296E43B}" name="Water" dataDxfId="404">
      <calculatedColumnFormula>TblConstr[[#This Row],[Water]]</calculatedColumnFormula>
    </tableColumn>
    <tableColumn id="9" xr3:uid="{D55A4201-089D-415F-8D4D-3ECCCB36C63A}" name="." dataDxfId="403"/>
    <tableColumn id="10" xr3:uid="{DD5BAECA-959B-44B4-BFE4-04100EF42CEE}" name="Hour" dataDxfId="402">
      <calculatedColumnFormula>J3+1</calculatedColumnFormula>
    </tableColumn>
    <tableColumn id="11" xr3:uid="{BBC04AC2-481C-43B9-8F7E-DA11BD9865DF}" name="Time" dataDxfId="401">
      <calculatedColumnFormula>TblImps[[#This Row],[Real time]]</calculatedColumnFormula>
    </tableColumn>
    <tableColumn id="12" xr3:uid="{D6C776EF-706C-4E21-B5A7-00C9AD08F8F2}" name="Plains Rezone" dataDxfId="400"/>
    <tableColumn id="13" xr3:uid="{8517A176-425D-4D28-9953-4EC1AA93C82D}" name="Forest Rezone" dataDxfId="399"/>
    <tableColumn id="14" xr3:uid="{6C6986FB-4B34-4620-9F5C-E204CA007C29}" name="Mountain Rezone" dataDxfId="398"/>
    <tableColumn id="15" xr3:uid="{A238C8DA-37C8-4B93-BDB9-803627A51455}" name="Hill Rezone" dataDxfId="397"/>
    <tableColumn id="16" xr3:uid="{6F93D167-46BB-49F9-99E2-4FE4FA89F6F6}" name="Swamp Rezone" dataDxfId="396"/>
    <tableColumn id="17" xr3:uid="{2891557D-037E-43FE-B080-6B5406778FAE}" name="Cavern Rezone" dataDxfId="395"/>
    <tableColumn id="18" xr3:uid="{C6630C4B-97F3-4512-833F-587ADB90804D}" name="Water Rezone" dataDxfId="394"/>
    <tableColumn id="19" xr3:uid="{71938840-BA0F-4F0E-90C2-866B3EEED32E}" name="Total acres" dataDxfId="393">
      <calculatedColumnFormula>SUMIF(TblRezone[[#This Row],[Plains Rezone]:[Water Rezone]],"&gt;0")</calculatedColumnFormula>
    </tableColumn>
    <tableColumn id="20" xr3:uid="{A48C796B-764B-4744-95D2-0DB5292F5562}" name="Ok?" dataDxfId="392">
      <calculatedColumnFormula>IF(SUM(TblRezone[[#This Row],[Plains Rezone]:[Water Rezone]])=0,"Ok","Nope")</calculatedColumnFormula>
    </tableColumn>
    <tableColumn id="21" xr3:uid="{2EBFAAC1-440A-44F3-A930-C229C35B9BD3}" name=".." dataDxfId="391"/>
    <tableColumn id="22" xr3:uid="{2020F260-8DB5-44E6-A131-B44D79AF6B62}" name="Platinum" dataDxfId="390">
      <calculatedColumnFormula>TblProd[[#This Row],[Platinum]]</calculatedColumnFormula>
    </tableColumn>
    <tableColumn id="23" xr3:uid="{81A5A213-A750-4DD5-8456-6B104D493CA4}" name="…" dataDxfId="389"/>
    <tableColumn id="24" xr3:uid="{8EF28125-DA30-4482-ADE4-2B916A90CAD2}" name="Plat/acre" dataDxfId="388">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7">
      <calculatedColumnFormula>TblRezone[[#This Row],[Total acres]]*TblRezone[[#This Row],[Plat/acre]]</calculatedColumnFormula>
    </tableColumn>
    <tableColumn id="26" xr3:uid="{685D7DEA-DD3C-4385-BEC6-C5DBEEE6B44D}" name="…." dataDxfId="386"/>
    <tableColumn id="27" xr3:uid="{44BE000A-0846-46D4-B9B4-8728EC5881AB}" name="Plat/acre*" dataDxfId="385">
      <calculatedColumnFormula>250+0.6*(TblRezone[[#This Row],[Land]]-250)</calculatedColumnFormula>
    </tableColumn>
    <tableColumn id="28" xr3:uid="{3AFBA97F-9340-4669-BF68-67D7B351BBD4}" name="….." dataDxfId="384"/>
    <tableColumn id="29" xr3:uid="{D8C9DC04-80EE-49BF-BEDB-6FEC536A5F93}" name="Facs" dataDxfId="383">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5" dataDxfId="373" headerRowBorderDxfId="374" tableBorderDxfId="372">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1">
      <calculatedColumnFormula>TblRezone[[#This Row],[Hour]]</calculatedColumnFormula>
    </tableColumn>
    <tableColumn id="2" xr3:uid="{EAC413AF-EC0E-4C34-B6C3-F5AE2181B0A0}" name="Military" dataDxfId="370">
      <calculatedColumnFormula>SUM(TblMili[[#This Row],[Unit 1]:[Archmages]])+SUM(TblMili[[#This Row],[Train Unit 1]:[Train Unit 4]])+TblMili[[#This Row],[Draftees]]</calculatedColumnFormula>
    </tableColumn>
    <tableColumn id="3" xr3:uid="{B9847F02-8883-462E-B245-62A25138A973}" name="Military%" dataDxfId="369">
      <calculatedColumnFormula>TblPop[[#This Row],[Military%]]</calculatedColumnFormula>
    </tableColumn>
    <tableColumn id="4" xr3:uid="{873B66D3-9A4C-4CF2-ADD1-BF3696F9A721}" name="." dataDxfId="368"/>
    <tableColumn id="5" xr3:uid="{FC5A3C7C-0387-4B98-9BB7-AC3A387EAFF0}" name="Unit 1" dataDxfId="367">
      <calculatedColumnFormula>OFFSET(TblMili[[#This Row],[Unit 1]],-1,0) - TblMili[[#This Row],[Release Unit 1]]</calculatedColumnFormula>
    </tableColumn>
    <tableColumn id="6" xr3:uid="{A8BE2C9D-1318-46BD-B50B-D87014E90395}" name="Unit 2" dataDxfId="366">
      <calculatedColumnFormula>OFFSET(TblMili[[#This Row],[Unit 2]],-1,0)-TblMili[[#This Row],[Release Unit 2]]</calculatedColumnFormula>
    </tableColumn>
    <tableColumn id="7" xr3:uid="{49487FD4-4EF4-4722-A4A4-FCC0DD98F9F2}" name="Unit 3" dataDxfId="365">
      <calculatedColumnFormula>OFFSET(TblMili[[#This Row],[Unit 3]],-1,0)-TblMili[[#This Row],[Release Unit 3]]</calculatedColumnFormula>
    </tableColumn>
    <tableColumn id="8" xr3:uid="{739E7790-2960-445C-A5B2-C6064A881CDF}" name="Unit 4" dataDxfId="364">
      <calculatedColumnFormula>OFFSET(TblMili[[#This Row],[Unit 4]],-1,0)-TblMili[[#This Row],[Release Unit 4]]</calculatedColumnFormula>
    </tableColumn>
    <tableColumn id="9" xr3:uid="{0DB25EC0-D296-415A-BF65-DA60D7174CD2}" name="Spies" dataDxfId="363">
      <calculatedColumnFormula>OFFSET(TblMili[[#This Row],[Spies]],-1,0)-TblMili[[#This Row],[Release Spies]]</calculatedColumnFormula>
    </tableColumn>
    <tableColumn id="10" xr3:uid="{1B32AEAE-0DB3-4DD4-8543-1BD37596FD6C}" name="Wizards" dataDxfId="362">
      <calculatedColumnFormula>OFFSET(TblMili[[#This Row],[Wizards]],-1,0)-TblMili[[#This Row],[Release Wizards]]-TblMili[[#This Row],[Train Arch]]</calculatedColumnFormula>
    </tableColumn>
    <tableColumn id="11" xr3:uid="{ED512AF5-16B2-421C-BF95-07157DB57B9D}" name="Archmages" dataDxfId="361">
      <calculatedColumnFormula>OFFSET(TblMili[[#This Row],[Archmages]],-1,0)-TblMili[[#This Row],[Release Arch]]</calculatedColumnFormula>
    </tableColumn>
    <tableColumn id="12" xr3:uid="{CADE9B79-5861-46C5-8C69-B19C0F0551CF}" name=".." dataDxfId="360"/>
    <tableColumn id="13" xr3:uid="{18901E43-A967-4D1C-A56F-B4449A6C28E5}" name="Networth" dataDxfId="359">
      <calculatedColumnFormula>TblProd[[#This Row],[Networth]]</calculatedColumnFormula>
    </tableColumn>
    <tableColumn id="14" xr3:uid="{2F50B0FF-1C90-493E-BE67-86AFE22B6059}" name="…" dataDxfId="358"/>
    <tableColumn id="15" xr3:uid="{800A8F5F-B777-4995-AD6F-4DF929E0A477}" name="Raw" dataDxfId="357">
      <calculatedColumnFormula>TblMili[[#This Row],[Unit 1]]*spec_op+TblMili[[#This Row],[Unit 3]]*(elite1_base_op+dark_elf*TblMili[[#This Row],[Adept]])+TblMili[[#This Row],[Unit 4]]*(elite2_base_op+icekin*TblMili[[#This Row],[Ice Elemental]]+woodie*TblMili[[#This Row],[Druid (op)]]+orc*TblMili[[#This Row],[Orc]])+kobold*TblMili[[#This Row],[Overlords]]</calculatedColumnFormula>
    </tableColumn>
    <tableColumn id="16" xr3:uid="{2451703B-2078-4992-A421-DCDAC6EF5D61}" name="Mods_Off" dataDxfId="35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355">
      <calculatedColumnFormula>TblMili[[#This Row],[Raw]]*(1+TblMili[[#This Row],[Mods_Off]])</calculatedColumnFormula>
    </tableColumn>
    <tableColumn id="18" xr3:uid="{49AD1BCC-C9BC-46CD-8B38-93838D61E9DD}" name="Non Draft" dataDxfId="354">
      <calculatedColumnFormula>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3">
      <calculatedColumnFormula>TblMili[[#This Row],[Non Draft]]+TblMili[[#This Row],[Draftees]]</calculatedColumnFormula>
    </tableColumn>
    <tableColumn id="20" xr3:uid="{C64B2C83-F9B3-427D-8326-C6954139623D}" name="Mods_Def" dataDxfId="352">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1" dataCellStyle="Comma">
      <calculatedColumnFormula>TblMili[[#This Row],[Non Draft]] * (1 + TblMili[[#This Row],[Mods_Def]])</calculatedColumnFormula>
    </tableColumn>
    <tableColumn id="22" xr3:uid="{EA8914C0-CD98-4E5C-A923-EA0F9E30F1EA}" name="Draft (mod)" dataDxfId="350">
      <calculatedColumnFormula>TblMili[[#This Row],[Draft]] * (1 + TblMili[[#This Row],[Mods_Def]])</calculatedColumnFormula>
    </tableColumn>
    <tableColumn id="23" xr3:uid="{EAC9356D-CE42-4256-BB93-BF208B480555}" name="Land" dataDxfId="349">
      <calculatedColumnFormula>TblConstr[[#This Row],[Land]]</calculatedColumnFormula>
    </tableColumn>
    <tableColumn id="24" xr3:uid="{D4A87242-2EDC-47D9-8CA4-84D822469E1B}" name="Set" dataDxfId="348"/>
    <tableColumn id="25" xr3:uid="{448088C9-E1C1-47E6-9443-BE83ECC5C2F2}" name="Draftrate" dataDxfId="347" dataCellStyle="Percent">
      <calculatedColumnFormula>IF(TblMili[[#This Row],[Set]]&lt;&gt;"",TblMili[[#This Row],[Set]],OFFSET(TblMili[[#This Row],[Draftrate]],-1,0))</calculatedColumnFormula>
    </tableColumn>
    <tableColumn id="26" xr3:uid="{EE8F6844-A68F-416E-B5A0-7B6FA4C5DE98}" name="Draftees" dataDxfId="346">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5"/>
    <tableColumn id="28" xr3:uid="{0B20A7CE-7BB6-4469-889B-DF744233C462}" name="Smithies" dataDxfId="344" dataCellStyle="Percent">
      <calculatedColumnFormula>(TblConstr[[#This Row],[Tot Smi]]+TblConstr[[#This Row],[Dest Smi]])/(TblConstr[[#This Row],[Land]]-TblExplore[[#This Row],[Land Bonus]]*20)</calculatedColumnFormula>
    </tableColumn>
    <tableColumn id="29" xr3:uid="{A03A8504-EBEF-4639-9EE4-238592848C94}" name="….." dataDxfId="343"/>
    <tableColumn id="30" xr3:uid="{4B521A36-EE77-42BE-850C-0D858F3717A6}" name="Hour (2)" dataDxfId="342">
      <calculatedColumnFormula>TblMili[[#This Row],[Hour]]</calculatedColumnFormula>
    </tableColumn>
    <tableColumn id="31" xr3:uid="{D44FE507-2C86-49D9-BC07-83C7B27BB255}" name="Time" dataDxfId="341">
      <calculatedColumnFormula>TblExplore[[#This Row],[Time]]</calculatedColumnFormula>
    </tableColumn>
    <tableColumn id="32" xr3:uid="{0DAD6AB9-2259-4821-8771-37863F1ED4CC}" name="Train Unit 1" dataDxfId="340"/>
    <tableColumn id="33" xr3:uid="{0E43B866-578B-4060-84D1-01656CB368A4}" name="Train Unit 2" dataDxfId="339"/>
    <tableColumn id="34" xr3:uid="{3AAC979B-4FF3-4EFF-8F6E-BD28BBE2B8BD}" name="Train Unit 3" dataDxfId="338"/>
    <tableColumn id="35" xr3:uid="{EC6B8083-BC72-4376-9760-2275CF62C1A6}" name="Train Unit 4" dataDxfId="337"/>
    <tableColumn id="36" xr3:uid="{DE15CA92-2C69-4205-88B3-DE37F5AAF9A6}" name="Train Spies" dataDxfId="336"/>
    <tableColumn id="37" xr3:uid="{97770C71-624D-4E73-A8AD-D79927F45908}" name="Train Wiz" dataDxfId="335"/>
    <tableColumn id="38" xr3:uid="{4E456233-AA67-4D90-9179-339EBD335F62}" name="Train Arch" dataDxfId="334"/>
    <tableColumn id="39" xr3:uid="{29C90460-5421-4EA7-A4CB-BDA1C40BF8A1}" name="…..." dataDxfId="333"/>
    <tableColumn id="40" xr3:uid="{2C04ED42-9AAF-4375-A8D4-18DA4B397FAA}" name="Platinum" dataDxfId="332">
      <calculatedColumnFormula>TblProd[[#This Row],[Platinum]]</calculatedColumnFormula>
    </tableColumn>
    <tableColumn id="41" xr3:uid="{122C6EDE-4C24-4A3C-9FA2-6A7942348604}" name="Secondary recource" dataDxfId="331">
      <calculatedColumnFormula>INDEX(TblProd[[#Headers],[Lumber]]:TblProd[[#This Row],[Ore]],COUNTA(TblProd[[#Headers],[Lumber]]:TblProd[[#This Row],[Lumber]]),MATCH(Military!$AO$2,TblProd[[#Headers],[Lumber]:[Ore]],0))</calculatedColumnFormula>
    </tableColumn>
    <tableColumn id="42" xr3:uid="{AD4D72D1-3860-48CA-B3DA-ADFB8307154A}" name="Plat Cost" dataDxfId="330">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29">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28">
      <calculatedColumnFormula>TblMili[[#This Row],[Hour]]</calculatedColumnFormula>
    </tableColumn>
    <tableColumn id="45" xr3:uid="{20B1F70F-03BF-43F5-9126-6B2FF45FE149}" name="Time " dataDxfId="327">
      <calculatedColumnFormula>TblMili[[#This Row],[Time]]</calculatedColumnFormula>
    </tableColumn>
    <tableColumn id="46" xr3:uid="{32831987-A30D-4329-BB1C-DB47E6B77B54}" name="Draftees22" dataDxfId="326">
      <calculatedColumnFormula>TblMili[[#This Row],[Draftees]]</calculatedColumnFormula>
    </tableColumn>
    <tableColumn id="47" xr3:uid="{7EBE7BE4-37D1-4B52-B049-F9BE4ABBBADC}" name="Release Draft" dataDxfId="325"/>
    <tableColumn id="48" xr3:uid="{C3BB0EE7-6180-4099-B663-EFA3F1503DB3}" name="Release Unit 1" dataDxfId="324"/>
    <tableColumn id="49" xr3:uid="{EDF7E463-807D-4CE2-B63E-18766260768C}" name="Release Unit 2" dataDxfId="323"/>
    <tableColumn id="50" xr3:uid="{A1BE9DD8-455A-4FAA-8154-5BB2D1A53261}" name="Release Unit 3" dataDxfId="322"/>
    <tableColumn id="51" xr3:uid="{4FE1D56E-EA47-4DF6-B5A4-E78C1D5F5774}" name="Release Unit 4" dataDxfId="321"/>
    <tableColumn id="52" xr3:uid="{F0F9CB78-BA40-4031-AC17-0AB88B159B60}" name="Release Spies" dataDxfId="320"/>
    <tableColumn id="53" xr3:uid="{3CC7AC8A-814F-42C4-B491-A6DFD7A4A93E}" name="Release Wizards" dataDxfId="319"/>
    <tableColumn id="54" xr3:uid="{BCB616C3-3465-4473-B27B-B25584160E71}" name="Release Arch" dataDxfId="318"/>
    <tableColumn id="55" xr3:uid="{6B6EC03F-2A6A-47EB-A7F1-0DFE335A330A}" name="Column31" dataDxfId="317"/>
    <tableColumn id="56" xr3:uid="{71F6F49D-CD22-4E5F-BBB5-61150307312C}" name="WG's" dataDxfId="316">
      <calculatedColumnFormula>TblConstr[[#This Row],[Tot WG]]/TblConstr[[#This Row],[Land]]</calculatedColumnFormula>
    </tableColumn>
    <tableColumn id="57" xr3:uid="{B8AC3F70-AED4-4E5E-9FFD-FF94CB39B791}" name="FH's" dataDxfId="315">
      <calculatedColumnFormula>TblConstr[[#This Row],[Tot Hav]]/TblConstr[[#This Row],[Land]]</calculatedColumnFormula>
    </tableColumn>
    <tableColumn id="58" xr3:uid="{140FE3B0-18E6-43AA-A625-E817354E2D53}" name="OP Plat" dataDxfId="314">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3">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2">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1">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0">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09">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08">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7">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6">
      <calculatedColumnFormula>ROUNDUP((1-MIN(ROUND(fh_spy_cost_red*TblMili[[#This Row],[FH''s]],4),fh_spy_cost_cap)+ tech_1_9*TblTech[[#This Row],[1-9]] + tech_9_1*TblTech[[#This Row],[9-1]])*spy_plat,0)</calculatedColumnFormula>
    </tableColumn>
    <tableColumn id="67" xr3:uid="{CDB40042-773A-4CE1-B670-B62BC884A947}" name="Wizzies cost" dataDxfId="305">
      <calculatedColumnFormula>ROUNDUP((1-MIN(ROUND(wg_wiz_cost_bonus*TblMili[[#This Row],[WG''s]],4),wg_wiz_cost_cap) + tech_1_9_2*TblTech[[#This Row],[1-9]] + tech_9_1_2*TblTech[[#This Row],[9-1]])*wizard_plat,0)</calculatedColumnFormula>
    </tableColumn>
    <tableColumn id="68" xr3:uid="{1053234A-AE18-4A82-94FC-D94692087DE3}" name="AMs cost" dataDxfId="304">
      <calculatedColumnFormula>ROUNDUP((1-MIN(ROUND(wg_wiz_cost_bonus*TblMili[[#This Row],[WG''s]],4),wg_wiz_cost_cap) + tech_1_9_2*TblTech[[#This Row],[1-9]] + tech_9_1_2*TblTech[[#This Row],[9-1]])*archmage_plat,0)</calculatedColumnFormula>
    </tableColumn>
    <tableColumn id="69" xr3:uid="{9D11DA92-CF6B-4838-B51B-494833977486}" name="…2" dataDxfId="303"/>
    <tableColumn id="70" xr3:uid="{1F713D65-CE26-4E75-AF9C-1E2610D02FB6}" name="Hill" dataDxfId="302">
      <calculatedColumnFormula>TblConstr[[#This Row],[Homeland]]/TblConstr[[#This Row],[Land]]</calculatedColumnFormula>
    </tableColumn>
    <tableColumn id="71" xr3:uid="{FBD620E0-8F97-4BED-916D-A8962B459E13}" name="WG" dataDxfId="301">
      <calculatedColumnFormula>TblMili[[#This Row],[WG''s]]</calculatedColumnFormula>
    </tableColumn>
    <tableColumn id="72" xr3:uid="{0F482B90-6164-42A0-AC1A-EB6CBE2239E0}" name="Mystic" dataDxfId="300">
      <calculatedColumnFormula>IF(mystic_cap="none",TblMili[[#This Row],[Hill]]/mystic_bonus,MIN(mystic_cap,TblMili[[#This Row],[Hill]]/mystic_bonus))</calculatedColumnFormula>
    </tableColumn>
    <tableColumn id="73" xr3:uid="{2FD25056-5068-463F-8553-3D2CFBDBD80D}" name="Druid (op)" dataDxfId="299">
      <calculatedColumnFormula>IF(druid_op_cap="none",TblMili[[#This Row],[Hill]]/druid_op_bonus,MIN(druid_op_cap,TblMili[[#This Row],[Hill]]/druid_op_bonus))</calculatedColumnFormula>
    </tableColumn>
    <tableColumn id="74" xr3:uid="{53018DF3-E735-41C7-A3D0-8E634866C57E}" name="Druid (dp)" dataDxfId="298">
      <calculatedColumnFormula>IF(druid_dp_cap="none",TblMili[[#This Row],[Hill]]/druid_dp_bonus,MIN(druid_dp_cap,TblMili[[#This Row],[Hill]]/druid_dp_bonus))</calculatedColumnFormula>
    </tableColumn>
    <tableColumn id="75" xr3:uid="{7F4EE74D-9905-4DF0-A5F6-DDC9D0115356}" name="Dryad" dataDxfId="297">
      <calculatedColumnFormula>MIN(dryad_cap,TblMili[[#This Row],[Hill]]/dryad_bonus)</calculatedColumnFormula>
    </tableColumn>
    <tableColumn id="76" xr3:uid="{E7F9826C-05CD-49D4-95DF-ECCD467D1341}" name="Rockapult" dataDxfId="296">
      <calculatedColumnFormula>MIN(rocka_cap,TblMili[[#This Row],[Hill]]/rocka_bonus)</calculatedColumnFormula>
    </tableColumn>
    <tableColumn id="77" xr3:uid="{A26FFF73-DC56-4E66-8A0E-51A9C837AE8D}" name="Adept" dataDxfId="295">
      <calculatedColumnFormula>MIN(adept_op_cap,TblMili[[#This Row],[WG]]/adept_op_bonus)</calculatedColumnFormula>
    </tableColumn>
    <tableColumn id="78" xr3:uid="{A5F9372F-5EBA-4E5A-AB3F-5A786DE5FEB0}" name="Column35" dataDxfId="294">
      <calculatedColumnFormula>MIN(adept_dp_cap,TblMili[[#This Row],[WG]]/adept_dp_bonus)</calculatedColumnFormula>
    </tableColumn>
    <tableColumn id="79" xr3:uid="{FF50DABE-A375-4222-848D-9C4D1D0FC999}" name="Beasts" dataDxfId="293">
      <calculatedColumnFormula>MIN(TblMili[[#This Row],[Unit 3]],TblMili[[#This Row],[Unit 4]])*2</calculatedColumnFormula>
    </tableColumn>
    <tableColumn id="80" xr3:uid="{FFCDA044-2FD9-4119-B82B-7914D887B7F4}" name="Overlords" dataDxfId="292">
      <calculatedColumnFormula>MIN(TblMili[[#This Row],[Unit 1]],TblMili[[#This Row],[Unit 4]])*2</calculatedColumnFormula>
    </tableColumn>
    <tableColumn id="81" xr3:uid="{00DE2C4D-2323-42A0-B749-2FB5F4E28DBF}" name="Frost Mage" dataDxfId="291">
      <calculatedColumnFormula>MIN(frost_mage_cap,TblMili[[#This Row],[Hill]]/frost_mage_bonus)</calculatedColumnFormula>
    </tableColumn>
    <tableColumn id="82" xr3:uid="{BB055F70-3593-48E8-A32F-2C3BC4E6D218}" name="Ice Elemental" dataDxfId="290">
      <calculatedColumnFormula>MIN(ice_elem_cap,TblMili[[#This Row],[Raw (2)]]*ice_elem_bonus)</calculatedColumnFormula>
    </tableColumn>
    <tableColumn id="83" xr3:uid="{1158BE59-7C9D-4D41-AE99-4249CB18E29F}" name="Orc" dataDxfId="289">
      <calculatedColumnFormula>MIN(bone_breaker_cap,250/bone_breaker_bonus)</calculatedColumnFormula>
    </tableColumn>
    <tableColumn id="84" xr3:uid="{76252BAC-90E5-49A7-B5F9-E399F71EA45D}" name="Nox" dataDxfId="288">
      <calculatedColumnFormula>MIN(nox_nightshade_cap,TblConstr[[#This Row],[Homeland]]/TblConstr[[#This Row],[Land]]/nox_nightshade_swamp_bonus)</calculatedColumnFormula>
    </tableColumn>
    <tableColumn id="85" xr3:uid="{1DFCAA2E-8651-447E-895D-82655A45DF53}" name="Column36" dataDxfId="287"/>
    <tableColumn id="86" xr3:uid="{2B117F31-500F-4EF5-A943-EA4E7192FD0F}" name="Column37" dataDxfId="286"/>
    <tableColumn id="87" xr3:uid="{F3D20B86-D78F-4794-87F9-C555822D3041}" name="Column38" dataDxfId="285"/>
    <tableColumn id="88" xr3:uid="{BDEF093C-2660-4215-8999-F98F4344DFB8}" name="Mystic bonus" dataDxfId="284">
      <calculatedColumnFormula>MIN(6,TblMili[[#This Row],[Mystic]]+Races!$F$19)*1.8 +  IF(TblMili[[#This Row],[Mystic]]+Races!$F$19&gt;6,(TblMili[[#This Row],[Mystic]]+Races!$F$19-6)*0.2,0) - Races!$I$19</calculatedColumnFormula>
    </tableColumn>
    <tableColumn id="89" xr3:uid="{46F4DC63-3122-4751-919D-25DE59A7EF66}" name="Druid bonus" dataDxfId="283">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2">
      <calculatedColumnFormula>TblMili[[#This Row],[Mystic bonus]]*TblMili[[#This Row],[Unit 3]]+TblMili[[#This Row],[Druid bonus]]*TblMili[[#This Row],[Unit 4]]</calculatedColumnFormula>
    </tableColumn>
    <tableColumn id="91" xr3:uid="{4EE98187-D861-41F7-99BA-17048C4D8D34}" name="Dryad bonus" dataDxfId="281">
      <calculatedColumnFormula>MIN(6,TblMili[[#This Row],[Dryad]]+Races!$F$35)*1.8 +  IF(TblMili[[#This Row],[Dryad]]+Races!$F$35&gt;6,(TblMili[[#This Row],[Dryad]]+Races!$F$35-6)*0.2,0) - Races!$I$19</calculatedColumnFormula>
    </tableColumn>
    <tableColumn id="92" xr3:uid="{4D0FBA77-63EB-4AF7-AA3C-BF4D432786D2}" name="Sylvan bonus" dataDxfId="280">
      <calculatedColumnFormula>sylvan*(TblMili[[#This Row],[Mystic bonus]]*TblMili[[#This Row],[Unit 3]])</calculatedColumnFormula>
    </tableColumn>
    <tableColumn id="93" xr3:uid="{9CB7A2CE-8BEC-402B-B1F0-5A1153673E45}" name="Rockapult bonus" dataDxfId="279">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78">
      <calculatedColumnFormula>gnome*(TblMili[[#This Row],[Rockapult bonus]]*TblMili[[#This Row],[Unit 3]])</calculatedColumnFormula>
    </tableColumn>
    <tableColumn id="95" xr3:uid="{A02C2188-BFCD-4178-8B64-B969D4D2D97B}" name="Adept bonus" dataDxfId="277">
      <calculatedColumnFormula>1.8 * MIN(MAX(TblMili[[#This Row],[Adept]]+Races!$E$47,TblMili[[#This Row],[Column35]]+Races!$F$47),6)  +  0.45 * MIN(MIN(TblMili[[#This Row],[Adept]]+Races!$E$47,TblMili[[#This Row],[Column35]]+Races!$F$47),6)  +  0.2 * ( MAX(TblMili[[#This Row],[Adept]]+Races!$E$47-6,0) + MAX(TblMili[[#This Row],[Column35]]+Races!$F$47-6,0) )  -  Races!$I$47</calculatedColumnFormula>
    </tableColumn>
    <tableColumn id="96" xr3:uid="{2AC6A177-5D6E-4EEF-803F-78737FC291BE}" name="Dark Elf bonus" dataDxfId="276">
      <calculatedColumnFormula>dark_elf*(TblMili[[#This Row],[Adept bonus]]*TblMili[[#This Row],[Unit 3]])</calculatedColumnFormula>
    </tableColumn>
    <tableColumn id="97" xr3:uid="{19730E51-BC55-444F-8E03-4B3A51C0E3D8}" name="Frost Mage bonus" dataDxfId="275">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4">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3">
      <calculatedColumnFormula>TblMili[[#This Row],[Frost Mage bonus]]*TblMili[[#This Row],[Unit 3]]+TblMili[[#This Row],[Ice Elemental bonus]]*TblMili[[#This Row],[Unit 4]]</calculatedColumnFormula>
    </tableColumn>
    <tableColumn id="100" xr3:uid="{A2072E36-3982-4B78-93F1-3B2C7DD41EB6}" name="Column46" dataDxfId="272"/>
    <tableColumn id="101" xr3:uid="{AA2C19ED-CD7C-4497-8949-4735D8380A50}" name="Column47" dataDxfId="271"/>
    <tableColumn id="102" xr3:uid="{045A1C5D-FFD7-4F37-8C55-3E1C6325D69C}" name="Column48" dataDxfId="270"/>
    <tableColumn id="103" xr3:uid="{CA1D4487-36A8-42BE-AAE8-1C025B923059}" name="Networth (2)" dataDxfId="269">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68"/>
    <tableColumn id="105" xr3:uid="{628D592A-8396-4FB0-BFC1-BC7CA81586EE}" name="Raw (2)" dataDxfId="267">
      <calculatedColumnFormula>(TblMili[[#This Row],[Wizards]]+2*TblMili[[#This Row],[Archmages]])/TblConstr[[#This Row],[Land]]</calculatedColumnFormula>
    </tableColumn>
    <tableColumn id="106" xr3:uid="{016BFDB0-CD57-41C0-AF17-CB540C2E962C}" name="Modded (2)" dataDxfId="266">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257" dataDxfId="255" headerRowBorderDxfId="256" tableBorderDxfId="254">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253">
      <calculatedColumnFormula>TblRezone[[#This Row],[Hour]]</calculatedColumnFormula>
    </tableColumn>
    <tableColumn id="2" xr3:uid="{E160E2FF-C983-4A55-B03E-684BAA5D56D7}" name="Land" dataDxfId="252">
      <calculatedColumnFormula>TblConstr[[#This Row],[Land]]</calculatedColumnFormula>
    </tableColumn>
    <tableColumn id="3" xr3:uid="{CEA3931F-9B77-4317-A7C7-C5D0214A12BA}" name="Mana" dataDxfId="251">
      <calculatedColumnFormula>TblProd[[#This Row],[Mana]]</calculatedColumnFormula>
    </tableColumn>
    <tableColumn id="4" xr3:uid="{D383CA2D-65F3-4634-A1DD-E4ECA1CC96C8}" name="Wiz str" dataDxfId="250">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49">
      <calculatedColumnFormula>OFFSET(TblMagic[[#This Row],[Time]],-1,0)+1/24</calculatedColumnFormula>
    </tableColumn>
    <tableColumn id="6" xr3:uid="{6625E0CA-37E1-457D-817F-784FA6A7A47B}" name="Pop" dataDxfId="248">
      <calculatedColumnFormula>TblImps[[#This Row],[Population]]</calculatedColumnFormula>
    </tableColumn>
    <tableColumn id="7" xr3:uid="{74B4A440-273D-4100-B1BC-91171D1D20B6}" name="Gaia's Watch" dataDxfId="247"/>
    <tableColumn id="8" xr3:uid="{43E4A01F-74F7-4C30-9D8A-3079A04763B9}" name="Mining Strength" dataDxfId="246"/>
    <tableColumn id="9" xr3:uid="{1A92950C-8F89-409E-9002-FCC57F75ADE0}" name="Ares Call" dataDxfId="245"/>
    <tableColumn id="10" xr3:uid="{A04C0737-02D0-4DAA-B9D7-324E3D59498C}" name="Midas Touch" dataDxfId="244"/>
    <tableColumn id="11" xr3:uid="{028D46F5-0AAD-49F8-AC48-D5E2C41FD4C2}" name="Harmony" dataDxfId="243"/>
    <tableColumn id="12" xr3:uid="{42548E68-C2D5-44CD-99FA-6AD40E64E185}" name="Miner's Sight" dataDxfId="242"/>
    <tableColumn id="13" xr3:uid="{D64F8C18-3DBE-4D7A-8AA3-C35E04DD6CAC}" name="Mechanical Genius" dataDxfId="241"/>
    <tableColumn id="14" xr3:uid="{0165862E-59ED-45FB-BD5A-0C7DCAA39217}" name="Frenzy" dataDxfId="240"/>
    <tableColumn id="15" xr3:uid="{762B30AD-670D-48C3-94F1-2BA1DC4089CC}" name="Killing Rage / Bloodrage" dataDxfId="239"/>
    <tableColumn id="16" xr3:uid="{0162EA56-857C-4157-A7AB-4D90C9EA47F1}" name="Gaia's Blessing" dataDxfId="238"/>
    <tableColumn id="17" xr3:uid="{6D83302D-974B-4742-8BDA-D99BB673F6D7}" name="Howling" dataDxfId="237"/>
    <tableColumn id="18" xr3:uid="{081EE08A-AA95-4648-9376-F68D04887352}" name="Blizzard" dataDxfId="236"/>
    <tableColumn id="19" xr3:uid="{3BCC0361-67FB-4576-8296-8E91F374A4A4}" name="Alchemists Flame" dataDxfId="235"/>
    <tableColumn id="20" xr3:uid="{CFB1AFFE-0570-4E81-B96B-5EE870CC5038}" name="Nightfall / Crusade" dataDxfId="234"/>
    <tableColumn id="21" xr3:uid="{4F53D2F5-E2E8-4AEE-975D-5B925FA589B0}" name="Useless spell" dataDxfId="233"/>
    <tableColumn id="22" xr3:uid="{E7040239-1040-4E8C-8EEB-3D517AC825BD}" name="." dataDxfId="232"/>
    <tableColumn id="23" xr3:uid="{8F45EE21-92D1-4622-B103-16B477DF630B}" name="Mana cost" dataDxfId="231">
      <calculatedColumnFormula>(MAX(1-wg_spell_cost_cap,1-wg_spell_cost_red*ROUND(TblConstr[[#This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calculatedColumnFormula>
    </tableColumn>
    <tableColumn id="24" xr3:uid="{E5989948-C7D1-4D66-B08C-D3D373071144}" name="Wiz str cost" dataDxfId="230">
      <calculatedColumnFormula>SUMIF(TblMagic[[#This Row],[Gaia''s Watch]:[Useless spell]],1)*0.05</calculatedColumnFormula>
    </tableColumn>
    <tableColumn id="25" xr3:uid="{2466DF86-89FE-4172-9850-F9FBAE56839D}" name=".." dataDxfId="229"/>
    <tableColumn id="26" xr3:uid="{F8559349-C288-4EC3-B38A-23771E549D1D}" name="Active Gaia's Watch" dataDxfId="228">
      <calculatedColumnFormula>IF(TblMagic[[#This Row],[Gaia''s Watch]],12,IF(OFFSET(TblMagic[[#This Row],[Active Gaia''s Watch]],-1,0)&gt;0,OFFSET(TblMagic[[#This Row],[Active Gaia''s Watch]],-1,0)-1,0))</calculatedColumnFormula>
    </tableColumn>
    <tableColumn id="27" xr3:uid="{00F45689-4686-422F-8E94-89C18992B261}" name="Active Mining Strength" dataDxfId="227">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6">
      <calculatedColumnFormula>IF(TblMagic[[#This Row],[Ares Call]],12,IF(OFFSET(TblMagic[[#This Row],[Active Ares Call]],-1,0)&gt;0,OFFSET(TblMagic[[#This Row],[Active Ares Call]],-1,0)-1,0))</calculatedColumnFormula>
    </tableColumn>
    <tableColumn id="29" xr3:uid="{BCC9ACB6-69AC-4DA1-B07D-F4802162CEF5}" name="Active Midas Touch" dataDxfId="225">
      <calculatedColumnFormula>IF(TblMagic[[#This Row],[Midas Touch]],12,IF(OFFSET(TblMagic[[#This Row],[Active Midas Touch]],-1,0)&gt;0,OFFSET(TblMagic[[#This Row],[Active Midas Touch]],-1,0)-1,0))</calculatedColumnFormula>
    </tableColumn>
    <tableColumn id="30" xr3:uid="{D13DA239-CC1B-41FD-A41B-68906B10F262}" name="Active Harmony" dataDxfId="224">
      <calculatedColumnFormula>IF(TblMagic[[#This Row],[Harmony]],12,IF(OFFSET(TblMagic[[#This Row],[Active Harmony]],-1,0)&gt;0,OFFSET(TblMagic[[#This Row],[Active Harmony]],-1,0)-1,0))</calculatedColumnFormula>
    </tableColumn>
    <tableColumn id="31" xr3:uid="{10D4FEA0-0AA8-4F31-8F5A-8576AE611BDA}" name="Active Miner's Sight" dataDxfId="223">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2">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1">
      <calculatedColumnFormula>IF(TblMagic[[#This Row],[Frenzy]],12,IF(OFFSET(TblMagic[[#This Row],[Active Frenzy]],-1,0)&gt;0,OFFSET(TblMagic[[#This Row],[Active Frenzy]],-1,0)-1,0))</calculatedColumnFormula>
    </tableColumn>
    <tableColumn id="34" xr3:uid="{3460E27B-FD4A-47FC-A87F-BAFED0FCC033}" name="Active Warsong / Killing Rage / Bloodrage" dataDxfId="220">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19">
      <calculatedColumnFormula>IF(TblMagic[[#This Row],[Gaia''s Blessing]],12,IF(OFFSET(TblMagic[[#This Row],[Active Gaia''s Blessing]],-1,0)&gt;0,OFFSET(TblMagic[[#This Row],[Active Gaia''s Blessing]],-1,0)-1,0))</calculatedColumnFormula>
    </tableColumn>
    <tableColumn id="36" xr3:uid="{DB2BE469-2BE3-4333-BFBC-C2857399E743}" name="Active Howling" dataDxfId="218">
      <calculatedColumnFormula>IF(TblMagic[[#This Row],[Howling]],12,IF(OFFSET(TblMagic[[#This Row],[Active Howling]],-1,0)&gt;0,OFFSET(TblMagic[[#This Row],[Active Howling]],-1,0)-1,0))</calculatedColumnFormula>
    </tableColumn>
    <tableColumn id="37" xr3:uid="{F5838FA3-8068-44AA-A6A2-758F46E5F78D}" name="Active Blizzard" dataDxfId="217">
      <calculatedColumnFormula>IF(TblMagic[[#This Row],[Blizzard]],12,IF(OFFSET(TblMagic[[#This Row],[Active Blizzard]],-1,0)&gt;0,OFFSET(TblMagic[[#This Row],[Active Blizzard]],-1,0)-1,0))</calculatedColumnFormula>
    </tableColumn>
    <tableColumn id="38" xr3:uid="{11215FCC-A994-4C4E-835C-F365C4B7BDF8}" name="Active Alchemists Flame" dataDxfId="216">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5">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44" t="s">
        <v>463</v>
      </c>
      <c r="B1" s="544"/>
      <c r="C1" s="544"/>
      <c r="D1" s="544"/>
      <c r="E1" s="544"/>
      <c r="F1" s="544"/>
      <c r="G1" s="544"/>
      <c r="H1" s="544"/>
      <c r="I1" s="544"/>
      <c r="J1" s="544"/>
      <c r="K1" s="544"/>
      <c r="L1" s="545"/>
      <c r="M1" s="552" t="s">
        <v>1082</v>
      </c>
      <c r="N1" s="553"/>
      <c r="O1" s="554"/>
    </row>
    <row r="2" spans="1:15" s="48" customFormat="1" ht="12.75" customHeight="1" x14ac:dyDescent="0.2">
      <c r="A2" s="579" t="s">
        <v>1080</v>
      </c>
      <c r="B2" s="580"/>
      <c r="C2" s="580"/>
      <c r="D2" s="580"/>
      <c r="E2" s="580"/>
      <c r="F2" s="580"/>
      <c r="G2" s="580"/>
      <c r="H2" s="580"/>
      <c r="I2" s="580"/>
      <c r="J2" s="580"/>
      <c r="K2" s="580"/>
      <c r="L2" s="581"/>
      <c r="M2" s="567" t="s">
        <v>1081</v>
      </c>
      <c r="N2" s="568"/>
      <c r="O2" s="569"/>
    </row>
    <row r="3" spans="1:15" s="48" customFormat="1" x14ac:dyDescent="0.2">
      <c r="A3" s="579"/>
      <c r="B3" s="580"/>
      <c r="C3" s="580"/>
      <c r="D3" s="580"/>
      <c r="E3" s="580"/>
      <c r="F3" s="580"/>
      <c r="G3" s="580"/>
      <c r="H3" s="580"/>
      <c r="I3" s="580"/>
      <c r="J3" s="580"/>
      <c r="K3" s="580"/>
      <c r="L3" s="581"/>
      <c r="M3" s="567"/>
      <c r="N3" s="568"/>
      <c r="O3" s="569"/>
    </row>
    <row r="4" spans="1:15" s="48" customFormat="1" x14ac:dyDescent="0.2">
      <c r="A4" s="579"/>
      <c r="B4" s="580"/>
      <c r="C4" s="580"/>
      <c r="D4" s="580"/>
      <c r="E4" s="580"/>
      <c r="F4" s="580"/>
      <c r="G4" s="580"/>
      <c r="H4" s="580"/>
      <c r="I4" s="580"/>
      <c r="J4" s="580"/>
      <c r="K4" s="580"/>
      <c r="L4" s="581"/>
      <c r="M4" s="567"/>
      <c r="N4" s="568"/>
      <c r="O4" s="569"/>
    </row>
    <row r="5" spans="1:15" s="48" customFormat="1" x14ac:dyDescent="0.2">
      <c r="A5" s="579"/>
      <c r="B5" s="580"/>
      <c r="C5" s="580"/>
      <c r="D5" s="580"/>
      <c r="E5" s="580"/>
      <c r="F5" s="580"/>
      <c r="G5" s="580"/>
      <c r="H5" s="580"/>
      <c r="I5" s="580"/>
      <c r="J5" s="580"/>
      <c r="K5" s="580"/>
      <c r="L5" s="581"/>
      <c r="M5" s="567"/>
      <c r="N5" s="568"/>
      <c r="O5" s="569"/>
    </row>
    <row r="6" spans="1:15" s="48" customFormat="1" x14ac:dyDescent="0.2">
      <c r="A6" s="579"/>
      <c r="B6" s="580"/>
      <c r="C6" s="580"/>
      <c r="D6" s="580"/>
      <c r="E6" s="580"/>
      <c r="F6" s="580"/>
      <c r="G6" s="580"/>
      <c r="H6" s="580"/>
      <c r="I6" s="580"/>
      <c r="J6" s="580"/>
      <c r="K6" s="580"/>
      <c r="L6" s="581"/>
      <c r="M6" s="567"/>
      <c r="N6" s="568"/>
      <c r="O6" s="569"/>
    </row>
    <row r="7" spans="1:15" s="48" customFormat="1" ht="13.5" thickBot="1" x14ac:dyDescent="0.25">
      <c r="A7" s="582"/>
      <c r="B7" s="583"/>
      <c r="C7" s="583"/>
      <c r="D7" s="583"/>
      <c r="E7" s="583"/>
      <c r="F7" s="583"/>
      <c r="G7" s="583"/>
      <c r="H7" s="583"/>
      <c r="I7" s="583"/>
      <c r="J7" s="583"/>
      <c r="K7" s="583"/>
      <c r="L7" s="584"/>
      <c r="M7" s="567"/>
      <c r="N7" s="568"/>
      <c r="O7" s="569"/>
    </row>
    <row r="8" spans="1:15" s="48" customFormat="1" ht="15.75" x14ac:dyDescent="0.2">
      <c r="A8" s="546" t="s">
        <v>462</v>
      </c>
      <c r="B8" s="547"/>
      <c r="C8" s="547"/>
      <c r="D8" s="547"/>
      <c r="E8" s="547"/>
      <c r="F8" s="547"/>
      <c r="G8" s="547"/>
      <c r="H8" s="547"/>
      <c r="I8" s="548"/>
      <c r="J8" s="555" t="s">
        <v>1110</v>
      </c>
      <c r="K8" s="556"/>
      <c r="L8" s="557"/>
      <c r="M8" s="570"/>
      <c r="N8" s="571"/>
      <c r="O8" s="572"/>
    </row>
    <row r="9" spans="1:15" s="48" customFormat="1" ht="12.75" customHeight="1" x14ac:dyDescent="0.2">
      <c r="A9" s="549" t="s">
        <v>1079</v>
      </c>
      <c r="B9" s="550"/>
      <c r="C9" s="550"/>
      <c r="D9" s="550"/>
      <c r="E9" s="550"/>
      <c r="F9" s="550"/>
      <c r="G9" s="550"/>
      <c r="H9" s="550"/>
      <c r="I9" s="550"/>
      <c r="J9" s="558"/>
      <c r="K9" s="559"/>
      <c r="L9" s="560"/>
      <c r="M9" s="570"/>
      <c r="N9" s="571"/>
      <c r="O9" s="572"/>
    </row>
    <row r="10" spans="1:15" s="48" customFormat="1" ht="12.75" customHeight="1" x14ac:dyDescent="0.2">
      <c r="A10" s="549"/>
      <c r="B10" s="550"/>
      <c r="C10" s="550"/>
      <c r="D10" s="550"/>
      <c r="E10" s="550"/>
      <c r="F10" s="550"/>
      <c r="G10" s="550"/>
      <c r="H10" s="550"/>
      <c r="I10" s="550"/>
      <c r="J10" s="558"/>
      <c r="K10" s="559"/>
      <c r="L10" s="560"/>
      <c r="M10" s="570"/>
      <c r="N10" s="571"/>
      <c r="O10" s="572"/>
    </row>
    <row r="11" spans="1:15" s="48" customFormat="1" ht="12.75" customHeight="1" x14ac:dyDescent="0.2">
      <c r="A11" s="549"/>
      <c r="B11" s="550"/>
      <c r="C11" s="550"/>
      <c r="D11" s="550"/>
      <c r="E11" s="550"/>
      <c r="F11" s="550"/>
      <c r="G11" s="550"/>
      <c r="H11" s="550"/>
      <c r="I11" s="550"/>
      <c r="J11" s="558"/>
      <c r="K11" s="559"/>
      <c r="L11" s="560"/>
      <c r="M11" s="570"/>
      <c r="N11" s="571"/>
      <c r="O11" s="572"/>
    </row>
    <row r="12" spans="1:15" s="48" customFormat="1" ht="28.5" customHeight="1" thickBot="1" x14ac:dyDescent="0.25">
      <c r="A12" s="549"/>
      <c r="B12" s="550"/>
      <c r="C12" s="550"/>
      <c r="D12" s="550"/>
      <c r="E12" s="550"/>
      <c r="F12" s="550"/>
      <c r="G12" s="550"/>
      <c r="H12" s="550"/>
      <c r="I12" s="550"/>
      <c r="J12" s="561"/>
      <c r="K12" s="562"/>
      <c r="L12" s="563"/>
      <c r="M12" s="573"/>
      <c r="N12" s="574"/>
      <c r="O12" s="575"/>
    </row>
    <row r="13" spans="1:15" s="48" customFormat="1" ht="25.5" customHeight="1" thickBot="1" x14ac:dyDescent="0.25">
      <c r="A13" s="576" t="s">
        <v>268</v>
      </c>
      <c r="B13" s="577"/>
      <c r="C13" s="578"/>
      <c r="D13" s="578"/>
      <c r="E13" s="578"/>
      <c r="F13" s="578"/>
      <c r="G13" s="578"/>
      <c r="H13" s="578"/>
      <c r="I13" s="578"/>
      <c r="J13" s="578"/>
      <c r="K13" s="578"/>
      <c r="L13" s="578"/>
      <c r="M13" s="578"/>
      <c r="N13" s="578"/>
      <c r="O13" s="578"/>
    </row>
    <row r="14" spans="1:15" s="58" customFormat="1" ht="12.75" customHeight="1" x14ac:dyDescent="0.2">
      <c r="A14" s="49" t="s">
        <v>28</v>
      </c>
      <c r="B14" s="168" t="s">
        <v>89</v>
      </c>
      <c r="C14" s="50"/>
      <c r="D14" s="51" t="s">
        <v>334</v>
      </c>
      <c r="E14" s="51" t="s">
        <v>801</v>
      </c>
      <c r="F14" s="52"/>
      <c r="G14" s="52"/>
      <c r="H14" s="53" t="s">
        <v>502</v>
      </c>
      <c r="I14" s="54" t="s">
        <v>218</v>
      </c>
      <c r="J14" s="55"/>
      <c r="K14" s="56"/>
      <c r="L14" s="52"/>
      <c r="M14" s="52"/>
      <c r="N14" s="52"/>
      <c r="O14" s="57"/>
    </row>
    <row r="15" spans="1:15" s="48" customFormat="1" ht="12.75" customHeight="1" x14ac:dyDescent="0.2">
      <c r="A15" s="59" t="s">
        <v>460</v>
      </c>
      <c r="B15" s="169">
        <v>44405</v>
      </c>
      <c r="D15" s="59" t="s">
        <v>335</v>
      </c>
      <c r="E15" s="60">
        <f>B15+(1+B16-1)/24+B18-6/24</f>
        <v>44404.75</v>
      </c>
      <c r="H15" s="59" t="s">
        <v>175</v>
      </c>
      <c r="I15" s="61">
        <f>INDEX(TblRaces[[Max population]:[Explore Cost]],MATCH(race,TblRaces[Race],0),MATCH(Table4[[#This Row],[Race Bonuses]],TblRaces[[#Headers],[Max population]:[Explore Cost]],0))</f>
        <v>0</v>
      </c>
      <c r="K15" s="62" t="s">
        <v>439</v>
      </c>
      <c r="O15" s="63"/>
    </row>
    <row r="16" spans="1:15" s="48" customFormat="1" ht="12.75" customHeight="1" thickBot="1" x14ac:dyDescent="0.25">
      <c r="A16" s="49" t="s">
        <v>331</v>
      </c>
      <c r="B16" s="170">
        <v>0</v>
      </c>
      <c r="C16" s="48" t="s">
        <v>542</v>
      </c>
      <c r="D16" s="59" t="s">
        <v>328</v>
      </c>
      <c r="E16" s="60">
        <f ca="1">NOW()</f>
        <v>44395.482314120367</v>
      </c>
      <c r="H16" s="59" t="s">
        <v>105</v>
      </c>
      <c r="I16" s="61">
        <f>INDEX(TblRaces[[Max population]:[Explore Cost]],MATCH(race,TblRaces[Race],0),MATCH(Table4[[#This Row],[Race Bonuses]],TblRaces[[#Headers],[Max population]:[Explore Cost]],0))</f>
        <v>0</v>
      </c>
      <c r="K16" s="542" t="s">
        <v>464</v>
      </c>
      <c r="L16" s="551"/>
      <c r="M16" s="551"/>
      <c r="N16" s="551"/>
      <c r="O16" s="63"/>
    </row>
    <row r="17" spans="1:15" s="48" customFormat="1" ht="12.75" customHeight="1" thickBot="1" x14ac:dyDescent="0.25">
      <c r="A17" s="49" t="s">
        <v>332</v>
      </c>
      <c r="B17" s="64">
        <f ca="1">TODAY()</f>
        <v>44395</v>
      </c>
      <c r="C17" s="65"/>
      <c r="D17" s="66" t="s">
        <v>327</v>
      </c>
      <c r="E17" s="67">
        <f>0+Log!P16</f>
        <v>0</v>
      </c>
      <c r="F17" s="68"/>
      <c r="G17" s="68"/>
      <c r="H17" s="59" t="s">
        <v>172</v>
      </c>
      <c r="I17" s="61">
        <f>INDEX(TblRaces[[Max population]:[Explore Cost]],MATCH(race,TblRaces[Race],0),MATCH(Table4[[#This Row],[Race Bonuses]],TblRaces[[#Headers],[Max population]:[Explore Cost]],0))</f>
        <v>0</v>
      </c>
      <c r="J17" s="55"/>
      <c r="K17" s="551"/>
      <c r="L17" s="551"/>
      <c r="M17" s="551"/>
      <c r="N17" s="551"/>
      <c r="O17" s="63"/>
    </row>
    <row r="18" spans="1:15" s="48" customFormat="1" ht="12.75" customHeight="1" thickBot="1" x14ac:dyDescent="0.25">
      <c r="A18" s="69" t="s">
        <v>516</v>
      </c>
      <c r="B18" s="171">
        <v>0</v>
      </c>
      <c r="C18" s="65"/>
      <c r="D18" s="59" t="s">
        <v>329</v>
      </c>
      <c r="E18" s="67" t="e">
        <f ca="1">IF(INDIRECT("Imps!L"&amp;TEXT(E17+3,0)),"Yes","Nope")</f>
        <v>#VALUE!</v>
      </c>
      <c r="H18" s="59" t="s">
        <v>107</v>
      </c>
      <c r="I18" s="61">
        <f>INDEX(TblRaces[[Max population]:[Explore Cost]],MATCH(race,TblRaces[Race],0),MATCH(Table4[[#This Row],[Race Bonuses]],TblRaces[[#Headers],[Max population]:[Explore Cost]],0))</f>
        <v>0.05</v>
      </c>
      <c r="J18" s="55"/>
      <c r="K18" s="551"/>
      <c r="L18" s="551"/>
      <c r="M18" s="551"/>
      <c r="N18" s="551"/>
      <c r="O18" s="63"/>
    </row>
    <row r="19" spans="1:15" s="48" customFormat="1" x14ac:dyDescent="0.2">
      <c r="H19" s="59" t="s">
        <v>108</v>
      </c>
      <c r="I19" s="61">
        <f>INDEX(TblRaces[[Max population]:[Explore Cost]],MATCH(race,TblRaces[Race],0),MATCH(Table4[[#This Row],[Race Bonuses]],TblRaces[[#Headers],[Max population]:[Explore Cost]],0))</f>
        <v>0</v>
      </c>
      <c r="J19" s="55"/>
      <c r="K19" s="551"/>
      <c r="L19" s="551"/>
      <c r="M19" s="551"/>
      <c r="N19" s="551"/>
      <c r="O19" s="70"/>
    </row>
    <row r="20" spans="1:15" s="48" customFormat="1" x14ac:dyDescent="0.2">
      <c r="H20" s="59" t="s">
        <v>109</v>
      </c>
      <c r="I20" s="61">
        <f>INDEX(TblRaces[[Max population]:[Explore Cost]],MATCH(race,TblRaces[Race],0),MATCH(Table4[[#This Row],[Race Bonuses]],TblRaces[[#Headers],[Max population]:[Explore Cost]],0))</f>
        <v>0</v>
      </c>
      <c r="J20" s="55"/>
      <c r="K20" s="551"/>
      <c r="L20" s="551"/>
      <c r="M20" s="551"/>
      <c r="N20" s="551"/>
      <c r="O20" s="71"/>
    </row>
    <row r="21" spans="1:15" s="48" customFormat="1" x14ac:dyDescent="0.2">
      <c r="A21" s="72" t="s">
        <v>330</v>
      </c>
      <c r="B21" s="73" t="s">
        <v>31</v>
      </c>
      <c r="C21" s="73" t="s">
        <v>32</v>
      </c>
      <c r="D21" s="73" t="s">
        <v>2</v>
      </c>
      <c r="E21" s="73" t="s">
        <v>3</v>
      </c>
      <c r="F21" s="73" t="s">
        <v>242</v>
      </c>
      <c r="H21" s="59" t="s">
        <v>110</v>
      </c>
      <c r="I21" s="61">
        <f>INDEX(TblRaces[[Max population]:[Explore Cost]],MATCH(race,TblRaces[Race],0),MATCH(Table4[[#This Row],[Race Bonuses]],TblRaces[[#Headers],[Max population]:[Explore Cost]],0))</f>
        <v>0</v>
      </c>
      <c r="J21" s="55"/>
      <c r="K21" s="551"/>
      <c r="L21" s="551"/>
      <c r="M21" s="551"/>
      <c r="N21" s="551"/>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42"/>
      <c r="L23" s="542"/>
      <c r="M23" s="542"/>
      <c r="N23" s="542"/>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42"/>
      <c r="L24" s="542"/>
      <c r="M24" s="542"/>
      <c r="N24" s="542"/>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42"/>
      <c r="L25" s="542"/>
      <c r="M25" s="542"/>
      <c r="N25" s="542"/>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173</v>
      </c>
      <c r="I26" s="61">
        <f>INDEX(TblRaces[[Max population]:[Explore Cost]],MATCH(race,TblRaces[Race],0),MATCH(Table4[[#This Row],[Race Bonuses]],TblRaces[[#Headers],[Max population]:[Explore Cost]],0))</f>
        <v>0</v>
      </c>
      <c r="K26" s="542"/>
      <c r="L26" s="542"/>
      <c r="M26" s="542"/>
      <c r="N26" s="542"/>
      <c r="O26" s="70"/>
    </row>
    <row r="27" spans="1:15" s="48" customFormat="1" x14ac:dyDescent="0.2">
      <c r="A27" s="76" t="s">
        <v>193</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174</v>
      </c>
      <c r="I27" s="61">
        <f>INDEX(TblRaces[[Max population]:[Explore Cost]],MATCH(race,TblRaces[Race],0),MATCH(Table4[[#This Row],[Race Bonuses]],TblRaces[[#Headers],[Max population]:[Explore Cost]],0))</f>
        <v>0</v>
      </c>
      <c r="K27" s="542"/>
      <c r="L27" s="542"/>
      <c r="M27" s="542"/>
      <c r="N27" s="542"/>
      <c r="O27" s="70"/>
    </row>
    <row r="28" spans="1:15" s="48" customFormat="1" x14ac:dyDescent="0.2">
      <c r="A28" s="76" t="s">
        <v>194</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451</v>
      </c>
      <c r="I28" s="61">
        <f>INDEX(TblRaces[[Max population]:[Explore Cost]],MATCH(race,TblRaces[Race],0),MATCH(Table4[[#This Row],[Race Bonuses]],TblRaces[[#Headers],[Max population]:[Explore Cost]],0))</f>
        <v>0</v>
      </c>
      <c r="O28" s="70"/>
    </row>
    <row r="29" spans="1:15" s="48" customFormat="1" x14ac:dyDescent="0.2">
      <c r="A29" s="79"/>
      <c r="B29" s="52"/>
      <c r="C29" s="52"/>
      <c r="D29" s="80"/>
      <c r="E29" s="81"/>
      <c r="F29" s="52"/>
      <c r="G29" s="52"/>
      <c r="H29" s="59" t="s">
        <v>503</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504</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541</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1113</v>
      </c>
      <c r="I32" s="533">
        <f>INDEX(TblRaces[[Max population]:[Explore Cost]],MATCH(race,TblRaces[Race],0),MATCH(Table4[[#This Row],[Race Bonuses]],TblRaces[[#Headers],[Max population]:[Explore Cost]],0))</f>
        <v>0</v>
      </c>
      <c r="J32" s="83"/>
      <c r="O32" s="88"/>
    </row>
    <row r="33" spans="1:15" s="89" customFormat="1" ht="29.25" customHeight="1" x14ac:dyDescent="0.2">
      <c r="A33" s="564" t="s">
        <v>389</v>
      </c>
      <c r="B33" s="541"/>
      <c r="C33" s="541"/>
      <c r="D33" s="541"/>
      <c r="E33" s="541"/>
      <c r="F33" s="541"/>
      <c r="G33" s="541"/>
      <c r="H33" s="541"/>
      <c r="I33" s="541"/>
      <c r="J33" s="565"/>
      <c r="K33" s="566"/>
      <c r="L33" s="566"/>
      <c r="M33" s="566"/>
      <c r="N33" s="566"/>
      <c r="O33" s="566"/>
    </row>
    <row r="34" spans="1:15" x14ac:dyDescent="0.2">
      <c r="A34" s="90" t="s">
        <v>22</v>
      </c>
      <c r="B34" s="91" t="s">
        <v>366</v>
      </c>
      <c r="C34" s="92" t="s">
        <v>31</v>
      </c>
      <c r="D34" s="93" t="s">
        <v>218</v>
      </c>
      <c r="E34" s="94" t="s">
        <v>1051</v>
      </c>
      <c r="F34" s="92" t="s">
        <v>32</v>
      </c>
      <c r="G34" s="93" t="s">
        <v>1049</v>
      </c>
      <c r="H34" s="93" t="s">
        <v>1050</v>
      </c>
      <c r="I34" s="95" t="s">
        <v>801</v>
      </c>
      <c r="J34" s="48"/>
      <c r="K34" s="48"/>
      <c r="L34" s="48"/>
      <c r="M34" s="48"/>
      <c r="N34" s="48"/>
      <c r="O34" s="96"/>
    </row>
    <row r="35" spans="1:15" x14ac:dyDescent="0.2">
      <c r="A35" s="98" t="s">
        <v>34</v>
      </c>
      <c r="B35" s="99" t="s">
        <v>228</v>
      </c>
      <c r="C35" s="100" t="s">
        <v>200</v>
      </c>
      <c r="D35" s="101" t="s">
        <v>218</v>
      </c>
      <c r="E35" s="99" t="s">
        <v>239</v>
      </c>
      <c r="F35" s="101" t="s">
        <v>200</v>
      </c>
      <c r="G35" s="101" t="s">
        <v>218</v>
      </c>
      <c r="H35" s="101" t="s">
        <v>239</v>
      </c>
      <c r="I35" s="102" t="s">
        <v>34</v>
      </c>
      <c r="J35" s="48"/>
      <c r="K35" s="62" t="s">
        <v>440</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37" t="s">
        <v>441</v>
      </c>
      <c r="L36" s="538"/>
      <c r="M36" s="538"/>
      <c r="N36" s="538"/>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38"/>
      <c r="L37" s="538"/>
      <c r="M37" s="538"/>
      <c r="N37" s="538"/>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38"/>
      <c r="L38" s="538"/>
      <c r="M38" s="538"/>
      <c r="N38" s="538"/>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42" t="s">
        <v>461</v>
      </c>
      <c r="L39" s="543"/>
      <c r="M39" s="543"/>
      <c r="N39" s="543"/>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43"/>
      <c r="L40" s="543"/>
      <c r="M40" s="543"/>
      <c r="N40" s="543"/>
      <c r="O40" s="57"/>
    </row>
    <row r="41" spans="1:15" x14ac:dyDescent="0.2">
      <c r="A41" s="123" t="s">
        <v>24</v>
      </c>
      <c r="B41" s="124">
        <f ca="1">F41</f>
        <v>626</v>
      </c>
      <c r="C41" s="125"/>
      <c r="D41" s="59"/>
      <c r="E41" s="126"/>
      <c r="F41" s="113">
        <f ca="1">Military!Z76</f>
        <v>626</v>
      </c>
      <c r="G41" s="127"/>
      <c r="H41" s="113">
        <f ca="1">F41*(1+$G$36)</f>
        <v>626</v>
      </c>
      <c r="I41" s="108" t="s">
        <v>432</v>
      </c>
      <c r="J41" s="48"/>
      <c r="K41" s="539" t="s">
        <v>459</v>
      </c>
      <c r="L41" s="540"/>
      <c r="M41" s="540"/>
      <c r="N41" s="540"/>
      <c r="O41" s="57"/>
    </row>
    <row r="42" spans="1:15" ht="13.5" thickBot="1" x14ac:dyDescent="0.25">
      <c r="A42" s="123" t="s">
        <v>431</v>
      </c>
      <c r="B42" s="59">
        <f ca="1">E54</f>
        <v>0</v>
      </c>
      <c r="C42" s="125"/>
      <c r="D42" s="59"/>
      <c r="E42" s="126"/>
      <c r="F42" s="128">
        <f ca="1">MIN(Population!C76/2,Constants!B14*20*Construction!BE76)</f>
        <v>0</v>
      </c>
      <c r="G42" s="127"/>
      <c r="H42" s="129">
        <f ca="1">F42*(1+$G$36)</f>
        <v>0</v>
      </c>
      <c r="I42" s="108" t="s">
        <v>390</v>
      </c>
      <c r="J42" s="48"/>
      <c r="K42" s="540"/>
      <c r="L42" s="540"/>
      <c r="M42" s="540"/>
      <c r="N42" s="540"/>
      <c r="O42" s="57"/>
    </row>
    <row r="43" spans="1:15" ht="13.5" thickTop="1" x14ac:dyDescent="0.2">
      <c r="B43" s="59"/>
      <c r="C43" s="125"/>
      <c r="D43" s="59"/>
      <c r="E43" s="126"/>
      <c r="F43" s="121">
        <f ca="1">F41+F40+F42</f>
        <v>1076</v>
      </c>
      <c r="G43" s="49"/>
      <c r="H43" s="120">
        <f ca="1">H41+H40+H42</f>
        <v>1076</v>
      </c>
      <c r="I43" s="108"/>
      <c r="J43" s="48"/>
      <c r="K43" s="541"/>
      <c r="L43" s="541"/>
      <c r="M43" s="541"/>
      <c r="N43" s="541"/>
      <c r="O43" s="57"/>
    </row>
    <row r="44" spans="1:15" x14ac:dyDescent="0.2">
      <c r="A44" s="52"/>
      <c r="B44" s="48"/>
      <c r="C44" s="52"/>
      <c r="D44" s="536"/>
      <c r="E44" s="536"/>
      <c r="F44" s="536"/>
      <c r="G44" s="536"/>
      <c r="H44" s="536"/>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264</v>
      </c>
      <c r="E46" s="135" t="s">
        <v>366</v>
      </c>
      <c r="F46" s="91" t="s">
        <v>1052</v>
      </c>
      <c r="G46" s="48"/>
      <c r="H46" s="62" t="s">
        <v>266</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267</v>
      </c>
      <c r="I47" s="140" t="s">
        <v>200</v>
      </c>
      <c r="J47" s="141" t="s">
        <v>239</v>
      </c>
      <c r="K47" s="48"/>
      <c r="L47" s="48"/>
      <c r="M47" s="48"/>
      <c r="N47" s="48"/>
      <c r="O47" s="57"/>
    </row>
    <row r="48" spans="1:15" x14ac:dyDescent="0.2">
      <c r="A48" s="52"/>
      <c r="B48" s="48"/>
      <c r="C48" s="52"/>
      <c r="D48" s="142" t="str">
        <f>Construction!AY3</f>
        <v>Tot Hom</v>
      </c>
      <c r="E48" s="143">
        <f ca="1">Construction!AY76</f>
        <v>10</v>
      </c>
      <c r="F48" s="144">
        <f ca="1">E48/$E$47</f>
        <v>0.04</v>
      </c>
      <c r="G48" s="48"/>
      <c r="H48" s="49" t="s">
        <v>261</v>
      </c>
      <c r="I48" s="145">
        <f ca="1">C40/E47</f>
        <v>0</v>
      </c>
      <c r="J48" s="145">
        <f ca="1">E40/E47</f>
        <v>0</v>
      </c>
      <c r="K48" s="48"/>
      <c r="L48" s="48"/>
      <c r="M48" s="48"/>
      <c r="N48" s="48"/>
      <c r="O48" s="57"/>
    </row>
    <row r="49" spans="1:15" x14ac:dyDescent="0.2">
      <c r="A49" s="130" t="s">
        <v>279</v>
      </c>
      <c r="B49" s="522">
        <f ca="1">Production!N76*(boat_size + tech_6_3_3*Techs!BH76)</f>
        <v>0</v>
      </c>
      <c r="C49" s="52"/>
      <c r="D49" s="142" t="str">
        <f>Construction!AZ3</f>
        <v>Tot Alc</v>
      </c>
      <c r="E49" s="49">
        <f ca="1">Construction!AZ76</f>
        <v>30</v>
      </c>
      <c r="F49" s="144">
        <f ca="1">E49/$E$47</f>
        <v>0.12</v>
      </c>
      <c r="G49" s="48"/>
      <c r="H49" s="49" t="s">
        <v>262</v>
      </c>
      <c r="I49" s="145">
        <f ca="1">F40/E47</f>
        <v>1.8</v>
      </c>
      <c r="J49" s="145">
        <f ca="1">H40/E47</f>
        <v>1.8</v>
      </c>
      <c r="K49" s="48"/>
      <c r="L49" s="48"/>
      <c r="M49" s="48"/>
      <c r="N49" s="48"/>
      <c r="O49" s="57"/>
    </row>
    <row r="50" spans="1:15" x14ac:dyDescent="0.2">
      <c r="A50" s="146" t="s">
        <v>388</v>
      </c>
      <c r="B50" s="523">
        <f>SUM(Imps!M4:'Imps'!M76)</f>
        <v>0</v>
      </c>
      <c r="C50" s="52"/>
      <c r="D50" s="142" t="str">
        <f>Construction!BA3</f>
        <v>Tot Farm</v>
      </c>
      <c r="E50" s="49">
        <f ca="1">Construction!BA76</f>
        <v>30</v>
      </c>
      <c r="F50" s="144">
        <f ca="1">E50/$E$47</f>
        <v>0.12</v>
      </c>
      <c r="G50" s="48"/>
      <c r="H50" s="49" t="s">
        <v>263</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265</v>
      </c>
      <c r="I51" s="145">
        <f ca="1">(B47*2+B46)/E47</f>
        <v>0.1</v>
      </c>
      <c r="J51" s="145">
        <f ca="1">I51*(1+I26+Constants!O57*Techs!AL76)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228</v>
      </c>
      <c r="J54" s="122" t="s">
        <v>396</v>
      </c>
      <c r="K54" s="48"/>
      <c r="L54" s="48"/>
      <c r="M54" s="48"/>
      <c r="N54" s="48"/>
      <c r="O54" s="57"/>
    </row>
    <row r="55" spans="1:15" x14ac:dyDescent="0.2">
      <c r="A55" s="148" t="s">
        <v>242</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278</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277</v>
      </c>
      <c r="B57" s="520">
        <f ca="1">E40</f>
        <v>0</v>
      </c>
      <c r="C57" s="52"/>
      <c r="D57" s="142" t="str">
        <f>Construction!BJ3</f>
        <v>Tot Bar</v>
      </c>
      <c r="E57" s="49">
        <f ca="1">Construction!BJ76</f>
        <v>0</v>
      </c>
      <c r="F57" s="144">
        <f t="shared" ca="1" si="0"/>
        <v>0</v>
      </c>
      <c r="G57" s="48"/>
      <c r="H57" s="150" t="s">
        <v>241</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288</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289</v>
      </c>
      <c r="I60" s="111" t="s">
        <v>228</v>
      </c>
      <c r="J60" s="153" t="s">
        <v>395</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290</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291</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202</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292</v>
      </c>
      <c r="I65" s="113">
        <f>SUM(Imps!AM4:AM76)</f>
        <v>0</v>
      </c>
      <c r="J65" s="153">
        <f ca="1">IFERROR(Table18[[#This Row],[Amount]]/Table18[[#Totals],[Amount]],0)</f>
        <v>0</v>
      </c>
      <c r="K65" s="48"/>
      <c r="L65" s="48"/>
      <c r="M65" s="48"/>
      <c r="N65" s="48"/>
      <c r="O65" s="57"/>
    </row>
    <row r="66" spans="1:15" x14ac:dyDescent="0.2">
      <c r="A66" s="149" t="s">
        <v>286</v>
      </c>
      <c r="B66" s="521">
        <f>SUM(Explore!T65:Z76)+SUM(Explore!S77:S87)*15</f>
        <v>0</v>
      </c>
      <c r="C66" s="48"/>
      <c r="D66" s="474" t="str">
        <f>Construction!BQ3</f>
        <v>Tot Doc</v>
      </c>
      <c r="E66" s="155">
        <f ca="1">Construction!BQ76</f>
        <v>0</v>
      </c>
      <c r="F66" s="157">
        <f t="shared" ca="1" si="0"/>
        <v>0</v>
      </c>
      <c r="G66" s="48"/>
      <c r="H66" s="97" t="s">
        <v>198</v>
      </c>
      <c r="I66" s="154">
        <f ca="1">SUBTOTAL(109,Table18[Amount])</f>
        <v>0</v>
      </c>
      <c r="J66" s="423">
        <f>1</f>
        <v>1</v>
      </c>
      <c r="K66" s="48"/>
      <c r="L66" s="48"/>
      <c r="M66" s="48"/>
      <c r="N66" s="48"/>
      <c r="O66" s="57"/>
    </row>
    <row r="67" spans="1:15" x14ac:dyDescent="0.2">
      <c r="A67" s="148" t="s">
        <v>287</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392</v>
      </c>
      <c r="B68" s="159" t="str">
        <f>VLOOKUP($B$14,Races!$A$4:$B$111,2,FALSE)</f>
        <v>Good</v>
      </c>
      <c r="C68" s="48"/>
      <c r="D68" s="72" t="s">
        <v>370</v>
      </c>
      <c r="E68" s="121">
        <f ca="1">E47-SUM(E48:E66)-B67</f>
        <v>160</v>
      </c>
      <c r="F68" s="160">
        <f ca="1">E68/E47</f>
        <v>0.64</v>
      </c>
      <c r="G68" s="48"/>
      <c r="H68" s="48"/>
      <c r="I68" s="48"/>
      <c r="J68" s="48"/>
      <c r="K68" s="48"/>
      <c r="L68" s="48"/>
      <c r="M68" s="48"/>
      <c r="N68" s="48"/>
      <c r="O68" s="57"/>
    </row>
    <row r="69" spans="1:15" x14ac:dyDescent="0.2">
      <c r="A69" s="158" t="s">
        <v>391</v>
      </c>
      <c r="B69" s="159" t="str">
        <f>VLOOKUP($B$14,Races!$A$4:$C$111,3,FALSE)</f>
        <v>Plain</v>
      </c>
      <c r="C69" s="48"/>
      <c r="D69" s="72" t="s">
        <v>371</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34" t="s">
        <v>299</v>
      </c>
      <c r="B73" s="535"/>
      <c r="C73" s="161"/>
      <c r="D73" s="161"/>
      <c r="E73" s="161"/>
      <c r="O73" s="49"/>
    </row>
    <row r="74" spans="1:15" x14ac:dyDescent="0.2">
      <c r="A74" s="162" t="s">
        <v>300</v>
      </c>
      <c r="B74" s="163"/>
      <c r="C74" s="161"/>
      <c r="D74" s="161"/>
      <c r="E74" s="163"/>
      <c r="O74" s="49"/>
    </row>
    <row r="75" spans="1:15" x14ac:dyDescent="0.2">
      <c r="A75" s="164" t="s">
        <v>302</v>
      </c>
      <c r="B75" s="164" t="s">
        <v>303</v>
      </c>
      <c r="C75" s="164" t="s">
        <v>305</v>
      </c>
      <c r="D75" s="164" t="s">
        <v>304</v>
      </c>
      <c r="E75" s="161"/>
      <c r="O75" s="49"/>
    </row>
    <row r="76" spans="1:15" x14ac:dyDescent="0.2">
      <c r="A76" s="161" t="s">
        <v>92</v>
      </c>
      <c r="B76" s="161" t="s">
        <v>127</v>
      </c>
      <c r="C76" s="165"/>
      <c r="D76" s="165">
        <f ca="1">IF(Constants!F112="none",$F$67/Constants!C112,MIN(Constants!F112,$F$67/Constants!C112))</f>
        <v>2.1999999999999997</v>
      </c>
      <c r="E76" s="161" t="b">
        <f>$B$14=A76</f>
        <v>0</v>
      </c>
      <c r="O76" s="49"/>
    </row>
    <row r="77" spans="1:15" x14ac:dyDescent="0.2">
      <c r="A77" s="161"/>
      <c r="B77" s="161" t="s">
        <v>128</v>
      </c>
      <c r="C77" s="165">
        <f ca="1">IF(Constants!F113="none",$F$67/Constants!C113,MIN(Constants!F113,$F$67/Constants!C113))</f>
        <v>2.1999999999999997</v>
      </c>
      <c r="D77" s="165">
        <f ca="1">IF(Constants!F114="none",$F$67/Constants!C114,MIN(Constants!F114,$F$67/Constants!C114))</f>
        <v>2.1999999999999997</v>
      </c>
      <c r="E77" s="161"/>
      <c r="O77" s="49"/>
    </row>
    <row r="78" spans="1:15" x14ac:dyDescent="0.2">
      <c r="A78" s="161" t="s">
        <v>96</v>
      </c>
      <c r="B78" s="161" t="s">
        <v>143</v>
      </c>
      <c r="C78" s="165"/>
      <c r="D78" s="165">
        <f ca="1">MIN(Constants!F115,$F$67/Constants!C115)</f>
        <v>2.1999999999999997</v>
      </c>
      <c r="E78" s="161" t="b">
        <f>$B$14=A78</f>
        <v>0</v>
      </c>
      <c r="O78" s="49"/>
    </row>
    <row r="79" spans="1:15" x14ac:dyDescent="0.2">
      <c r="A79" s="161" t="s">
        <v>94</v>
      </c>
      <c r="B79" s="161" t="s">
        <v>135</v>
      </c>
      <c r="C79" s="165"/>
      <c r="D79" s="165">
        <f ca="1">MIN(Constants!F116,$F$67/Constants!C116)</f>
        <v>2</v>
      </c>
      <c r="E79" s="161" t="b">
        <f>$B$14=A79</f>
        <v>0</v>
      </c>
      <c r="O79" s="49"/>
    </row>
    <row r="80" spans="1:15" x14ac:dyDescent="0.2">
      <c r="A80" s="161" t="s">
        <v>99</v>
      </c>
      <c r="B80" s="161" t="s">
        <v>151</v>
      </c>
      <c r="C80" s="165">
        <f ca="1">MIN(Constants!F117,F63/Constants!C117)</f>
        <v>0</v>
      </c>
      <c r="D80" s="165">
        <f ca="1">MIN(Constants!F118,F63/Constants!C118)</f>
        <v>0</v>
      </c>
      <c r="E80" s="161" t="b">
        <f>$B$14=A80</f>
        <v>0</v>
      </c>
      <c r="O80" s="49"/>
    </row>
    <row r="81" spans="1:15" x14ac:dyDescent="0.2">
      <c r="A81" s="161" t="s">
        <v>341</v>
      </c>
      <c r="B81" s="161" t="s">
        <v>344</v>
      </c>
      <c r="C81" s="161"/>
      <c r="D81" s="165">
        <f ca="1">MIN(Constants!F119,F67/Constants!C119)</f>
        <v>2.1999999999999997</v>
      </c>
      <c r="E81" s="161" t="b">
        <f>$B$14=A81</f>
        <v>0</v>
      </c>
      <c r="O81" s="49"/>
    </row>
    <row r="82" spans="1:15" x14ac:dyDescent="0.2">
      <c r="A82" s="161"/>
      <c r="B82" s="161" t="s">
        <v>345</v>
      </c>
      <c r="C82" s="161">
        <f ca="1">MIN(Constants!F120,I51*Constants!C120)</f>
        <v>0.1</v>
      </c>
      <c r="D82" s="161"/>
      <c r="E82" s="161"/>
      <c r="O82" s="49"/>
    </row>
    <row r="83" spans="1:15" x14ac:dyDescent="0.2">
      <c r="A83" s="161" t="s">
        <v>147</v>
      </c>
      <c r="B83" s="161" t="s">
        <v>387</v>
      </c>
      <c r="C83" s="161"/>
      <c r="D83" s="165">
        <f>MIN(Constants!F121,250/Constants!C121)</f>
        <v>0</v>
      </c>
      <c r="E83" s="161" t="b">
        <f>$B$14=A83</f>
        <v>0</v>
      </c>
      <c r="O83" s="49"/>
    </row>
    <row r="84" spans="1:15" x14ac:dyDescent="0.2">
      <c r="A84" s="166" t="s">
        <v>147</v>
      </c>
      <c r="B84" s="161" t="s">
        <v>369</v>
      </c>
      <c r="C84" s="167">
        <f>MIN(bone_breaker_cap,250/bone_breaker_bonus)</f>
        <v>0.66666666666666663</v>
      </c>
      <c r="E84" s="161" t="b">
        <f>$B$14=A84</f>
        <v>0</v>
      </c>
      <c r="O84" s="49"/>
    </row>
    <row r="85" spans="1:15" x14ac:dyDescent="0.2">
      <c r="A85" s="161" t="s">
        <v>515</v>
      </c>
      <c r="B85" s="161" t="s">
        <v>436</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301</v>
      </c>
      <c r="B87" s="161"/>
      <c r="C87" s="161"/>
      <c r="D87" s="161"/>
      <c r="E87" s="166"/>
      <c r="O87" s="49"/>
    </row>
    <row r="88" spans="1:15" x14ac:dyDescent="0.2">
      <c r="A88" s="161" t="s">
        <v>103</v>
      </c>
      <c r="B88" s="161" t="s">
        <v>339</v>
      </c>
      <c r="C88" s="161"/>
      <c r="D88" s="161">
        <f ca="1">MIN(B38,B39)*2</f>
        <v>0</v>
      </c>
      <c r="E88" s="161" t="b">
        <f>$B$14=A88</f>
        <v>0</v>
      </c>
      <c r="O88" s="49"/>
    </row>
    <row r="89" spans="1:15" x14ac:dyDescent="0.2">
      <c r="A89" s="161"/>
      <c r="B89" s="161" t="s">
        <v>340</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24" priority="1" stopIfTrue="1">
      <formula>$D$44&lt;&gt;""</formula>
    </cfRule>
  </conditionalFormatting>
  <conditionalFormatting sqref="E18">
    <cfRule type="cellIs" dxfId="923" priority="2" stopIfTrue="1" operator="equal">
      <formula>"""Yes"""</formula>
    </cfRule>
    <cfRule type="expression" dxfId="922" priority="3" stopIfTrue="1">
      <formula>ISERROR(E18)</formula>
    </cfRule>
  </conditionalFormatting>
  <conditionalFormatting sqref="E17">
    <cfRule type="cellIs" dxfId="921"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6" t="s">
        <v>23</v>
      </c>
      <c r="D1" s="586"/>
      <c r="E1" s="586"/>
      <c r="F1" s="586"/>
      <c r="G1" s="586"/>
      <c r="H1" s="586"/>
      <c r="I1" s="586"/>
      <c r="J1" s="174"/>
      <c r="K1" s="174"/>
      <c r="L1" s="586" t="s">
        <v>22</v>
      </c>
      <c r="M1" s="586"/>
      <c r="N1" s="586"/>
      <c r="O1" s="586"/>
      <c r="P1" s="586"/>
      <c r="Q1" s="586"/>
      <c r="R1" s="586"/>
      <c r="S1" s="586"/>
      <c r="U1" s="586" t="s">
        <v>175</v>
      </c>
      <c r="V1" s="587"/>
      <c r="W1" s="586" t="s">
        <v>179</v>
      </c>
      <c r="X1" s="586"/>
      <c r="Y1" s="586"/>
      <c r="Z1" s="586"/>
      <c r="AA1" s="586" t="s">
        <v>184</v>
      </c>
      <c r="AB1" s="587"/>
      <c r="AC1" s="587"/>
      <c r="AD1" s="587"/>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322</v>
      </c>
      <c r="C3" s="176" t="s">
        <v>21</v>
      </c>
      <c r="D3" s="176" t="s">
        <v>22</v>
      </c>
      <c r="E3" s="176" t="s">
        <v>24</v>
      </c>
      <c r="F3" s="176" t="s">
        <v>198</v>
      </c>
      <c r="G3" s="176" t="s">
        <v>199</v>
      </c>
      <c r="H3" s="176" t="s">
        <v>236</v>
      </c>
      <c r="I3" s="176" t="s">
        <v>276</v>
      </c>
      <c r="J3" s="176" t="s">
        <v>324</v>
      </c>
      <c r="K3" s="176" t="s">
        <v>801</v>
      </c>
      <c r="L3" s="176" t="s">
        <v>1053</v>
      </c>
      <c r="M3" s="176" t="s">
        <v>797</v>
      </c>
      <c r="N3" s="176" t="s">
        <v>798</v>
      </c>
      <c r="O3" s="176" t="s">
        <v>799</v>
      </c>
      <c r="P3" s="176" t="s">
        <v>800</v>
      </c>
      <c r="Q3" s="176" t="s">
        <v>25</v>
      </c>
      <c r="R3" s="176" t="s">
        <v>26</v>
      </c>
      <c r="S3" s="176" t="s">
        <v>194</v>
      </c>
      <c r="T3" s="176" t="s">
        <v>802</v>
      </c>
      <c r="U3" s="176" t="s">
        <v>238</v>
      </c>
      <c r="V3" s="176" t="s">
        <v>186</v>
      </c>
      <c r="W3" s="176" t="s">
        <v>185</v>
      </c>
      <c r="X3" s="176" t="s">
        <v>244</v>
      </c>
      <c r="Y3" s="176" t="s">
        <v>237</v>
      </c>
      <c r="Z3" s="176" t="s">
        <v>1070</v>
      </c>
      <c r="AA3" s="176" t="s">
        <v>804</v>
      </c>
      <c r="AB3" s="176" t="s">
        <v>179</v>
      </c>
      <c r="AC3" s="176" t="s">
        <v>183</v>
      </c>
    </row>
    <row r="4" spans="1:30" x14ac:dyDescent="0.2">
      <c r="A4" s="178">
        <f>TblRezone[[#This Row],[Hour]]</f>
        <v>1</v>
      </c>
      <c r="B4" s="179">
        <f>TblImps[[#This Row],[Time]]</f>
        <v>44404.75</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Row],[Peasants]]*Constants!$B$53,0), 0)</f>
        <v>13</v>
      </c>
      <c r="AA4" s="184"/>
      <c r="AB4" s="185">
        <f ca="1">Overview!$I$16 + IF(Magic!AD4&gt;0,Constants!$F$77)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44404.791666666664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Row],[Peasants]]*Constants!$B$53,0), 0)</f>
        <v>13</v>
      </c>
      <c r="AA5" s="184"/>
      <c r="AB5" s="185">
        <f ca="1">Overview!$I$16 + IF(Magic!AD5&gt;0,Constants!$F$77)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44404.833333333328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Row],[Peasants]]*Constants!$B$53,0), 0)</f>
        <v>14</v>
      </c>
      <c r="AA6" s="184"/>
      <c r="AB6" s="185">
        <f ca="1">Overview!$I$16 + IF(Magic!AD6&gt;0,Constants!$F$77)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44404.874999999993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Row],[Peasants]]*Constants!$B$53,0), 0)</f>
        <v>14</v>
      </c>
      <c r="AA7" s="184"/>
      <c r="AB7" s="185">
        <f ca="1">Overview!$I$16 + IF(Magic!AD7&gt;0,Constants!$F$77)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44404.916666666657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Row],[Peasants]]*Constants!$B$53,0), 0)</f>
        <v>14</v>
      </c>
      <c r="AA8" s="184"/>
      <c r="AB8" s="185">
        <f ca="1">Overview!$I$16 + IF(Magic!AD8&gt;0,Constants!$F$77)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44404.958333333321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Row],[Peasants]]*Constants!$B$53,0), 0)</f>
        <v>14</v>
      </c>
      <c r="AA9" s="184"/>
      <c r="AB9" s="185">
        <f ca="1">Overview!$I$16 + IF(Magic!AD9&gt;0,Constants!$F$77)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44404.999999999985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Row],[Peasants]]*Constants!$B$53,0), 0)</f>
        <v>15</v>
      </c>
      <c r="AA10" s="184"/>
      <c r="AB10" s="185">
        <f ca="1">Overview!$I$16 + IF(Magic!AD10&gt;0,Constants!$F$77)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44405.04166666665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Row],[Peasants]]*Constants!$B$53,0), 0)</f>
        <v>15</v>
      </c>
      <c r="AA11" s="184"/>
      <c r="AB11" s="185">
        <f ca="1">Overview!$I$16 + IF(Magic!AD11&gt;0,Constants!$F$77)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44405.083333333314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Row],[Peasants]]*Constants!$B$53,0), 0)</f>
        <v>15</v>
      </c>
      <c r="AA12" s="184"/>
      <c r="AB12" s="185">
        <f ca="1">Overview!$I$16 + IF(Magic!AD12&gt;0,Constants!$F$77)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44405.124999999978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Row],[Peasants]]*Constants!$B$53,0), 0)</f>
        <v>15</v>
      </c>
      <c r="AA13" s="184"/>
      <c r="AB13" s="185">
        <f ca="1">Overview!$I$16 + IF(Magic!AD13&gt;0,Constants!$F$77)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44405.166666666642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Row],[Peasants]]*Constants!$B$53,0), 0)</f>
        <v>16</v>
      </c>
      <c r="AA14" s="184"/>
      <c r="AB14" s="185">
        <f ca="1">Overview!$I$16 + IF(Magic!AD14&gt;0,Constants!$F$77)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44405.208333333307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Row],[Peasants]]*Constants!$B$53,0), 0)</f>
        <v>16</v>
      </c>
      <c r="AA15" s="184"/>
      <c r="AB15" s="185">
        <f ca="1">Overview!$I$16 + IF(Magic!AD15&gt;0,Constants!$F$77)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44405.249999999971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Row],[Peasants]]*Constants!$B$53,0), 0)</f>
        <v>16</v>
      </c>
      <c r="AA16" s="184"/>
      <c r="AB16" s="185">
        <f ca="1">Overview!$I$16 + IF(Magic!AD16&gt;0,Constants!$F$77)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44405.291666666635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Row],[Peasants]]*Constants!$B$53,0), 0)</f>
        <v>17</v>
      </c>
      <c r="AA17" s="184"/>
      <c r="AB17" s="185">
        <f ca="1">Overview!$I$16 + IF(Magic!AD17&gt;0,Constants!$F$77)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44405.333333333299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Row],[Peasants]]*Constants!$B$53,0), 0)</f>
        <v>17</v>
      </c>
      <c r="AA18" s="184"/>
      <c r="AB18" s="185">
        <f ca="1">Overview!$I$16 + IF(Magic!AD18&gt;0,Constants!$F$77)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44405.374999999964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Row],[Peasants]]*Constants!$B$53,0), 0)</f>
        <v>17</v>
      </c>
      <c r="AA19" s="184"/>
      <c r="AB19" s="185">
        <f ca="1">Overview!$I$16 + IF(Magic!AD19&gt;0,Constants!$F$77)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44405.416666666628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Row],[Peasants]]*Constants!$B$53,0), 0)</f>
        <v>18</v>
      </c>
      <c r="AA20" s="184"/>
      <c r="AB20" s="185">
        <f ca="1">Overview!$I$16 + IF(Magic!AD20&gt;0,Constants!$F$77)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44405.458333333292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Row],[Peasants]]*Constants!$B$53,0), 0)</f>
        <v>18</v>
      </c>
      <c r="AA21" s="184"/>
      <c r="AB21" s="185">
        <f ca="1">Overview!$I$16 + IF(Magic!AD21&gt;0,Constants!$F$77)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44405.499999999956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Row],[Peasants]]*Constants!$B$53,0), 0)</f>
        <v>18</v>
      </c>
      <c r="AA22" s="184"/>
      <c r="AB22" s="185">
        <f ca="1">Overview!$I$16 + IF(Magic!AD22&gt;0,Constants!$F$77)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44405.541666666621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Row],[Peasants]]*Constants!$B$53,0), 0)</f>
        <v>18</v>
      </c>
      <c r="AA23" s="184"/>
      <c r="AB23" s="185">
        <f ca="1">Overview!$I$16 + IF(Magic!AD23&gt;0,Constants!$F$77)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44405.583333333285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Row],[Peasants]]*Constants!$B$53,0), 0)</f>
        <v>17</v>
      </c>
      <c r="AA24" s="184"/>
      <c r="AB24" s="185">
        <f ca="1">Overview!$I$16 + IF(Magic!AD24&gt;0,Constants!$F$77)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44405.624999999949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Row],[Peasants]]*Constants!$B$53,0), 0)</f>
        <v>17</v>
      </c>
      <c r="AA25" s="184"/>
      <c r="AB25" s="185">
        <f ca="1">Overview!$I$16 + IF(Magic!AD25&gt;0,Constants!$F$77)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44405.666666666613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Row],[Peasants]]*Constants!$B$53,0), 0)</f>
        <v>17</v>
      </c>
      <c r="AA26" s="184"/>
      <c r="AB26" s="185">
        <f ca="1">Overview!$I$16 + IF(Magic!AD26&gt;0,Constants!$F$77)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44405.708333333278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Row],[Peasants]]*Constants!$B$53,0), 0)</f>
        <v>17</v>
      </c>
      <c r="AA27" s="184"/>
      <c r="AB27" s="185">
        <f ca="1">Overview!$I$16 + IF(Magic!AD27&gt;0,Constants!$F$77)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44405.749999999942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Row],[Peasants]]*Constants!$B$53,0), 0)</f>
        <v>17</v>
      </c>
      <c r="AA28" s="184"/>
      <c r="AB28" s="185">
        <f ca="1">Overview!$I$16 + IF(Magic!AD28&gt;0,Constants!$F$77)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44405.791666666606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Row],[Peasants]]*Constants!$B$53,0), 0)</f>
        <v>17</v>
      </c>
      <c r="AA29" s="184"/>
      <c r="AB29" s="185">
        <f ca="1">Overview!$I$16 + IF(Magic!AD29&gt;0,Constants!$F$77)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44405.83333333327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Row],[Peasants]]*Constants!$B$53,0), 0)</f>
        <v>16</v>
      </c>
      <c r="AA30" s="184"/>
      <c r="AB30" s="185">
        <f ca="1">Overview!$I$16 + IF(Magic!AD30&gt;0,Constants!$F$77)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44405.874999999935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Row],[Peasants]]*Constants!$B$53,0), 0)</f>
        <v>16</v>
      </c>
      <c r="AA31" s="184"/>
      <c r="AB31" s="185">
        <f ca="1">Overview!$I$16 + IF(Magic!AD31&gt;0,Constants!$F$77)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44405.916666666599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Row],[Peasants]]*Constants!$B$53,0), 0)</f>
        <v>16</v>
      </c>
      <c r="AA32" s="184"/>
      <c r="AB32" s="185">
        <f ca="1">Overview!$I$16 + IF(Magic!AD32&gt;0,Constants!$F$77)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44405.958333333263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Row],[Peasants]]*Constants!$B$53,0), 0)</f>
        <v>16</v>
      </c>
      <c r="AA33" s="184"/>
      <c r="AB33" s="185">
        <f ca="1">Overview!$I$16 + IF(Magic!AD33&gt;0,Constants!$F$77)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44405.999999999927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Row],[Peasants]]*Constants!$B$53,0), 0)</f>
        <v>16</v>
      </c>
      <c r="AA34" s="184"/>
      <c r="AB34" s="185">
        <f ca="1">Overview!$I$16 + IF(Magic!AD34&gt;0,Constants!$F$77)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44406.041666666591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Row],[Peasants]]*Constants!$B$53,0), 0)</f>
        <v>16</v>
      </c>
      <c r="AA35" s="184"/>
      <c r="AB35" s="185">
        <f ca="1">Overview!$I$16 + IF(Magic!AD35&gt;0,Constants!$F$77)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44406.083333333256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Row],[Peasants]]*Constants!$B$53,0), 0)</f>
        <v>15</v>
      </c>
      <c r="AA36" s="184"/>
      <c r="AB36" s="185">
        <f ca="1">Overview!$I$16 + IF(Magic!AD36&gt;0,Constants!$F$77)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44406.12499999992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Row],[Peasants]]*Constants!$B$53,0), 0)</f>
        <v>0</v>
      </c>
      <c r="AA37" s="184"/>
      <c r="AB37" s="185">
        <f ca="1">Overview!$I$16 + IF(Magic!AD37&gt;0,Constants!$F$77)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44406.166666666584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Row],[Peasants]]*Constants!$B$53,0), 0)</f>
        <v>0</v>
      </c>
      <c r="AA38" s="184"/>
      <c r="AB38" s="185">
        <f ca="1">Overview!$I$16 + IF(Magic!AD38&gt;0,Constants!$F$77)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44406.208333333248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Row],[Peasants]]*Constants!$B$53,0), 0)</f>
        <v>0</v>
      </c>
      <c r="AA39" s="184"/>
      <c r="AB39" s="185">
        <f ca="1">Overview!$I$16 + IF(Magic!AD39&gt;0,Constants!$F$77)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44406.249999999913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Row],[Peasants]]*Constants!$B$53,0), 0)</f>
        <v>0</v>
      </c>
      <c r="AA40" s="184"/>
      <c r="AB40" s="185">
        <f ca="1">Overview!$I$16 + IF(Magic!AD40&gt;0,Constants!$F$77)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44406.291666666577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Row],[Peasants]]*Constants!$B$53,0), 0)</f>
        <v>0</v>
      </c>
      <c r="AA41" s="184"/>
      <c r="AB41" s="185">
        <f ca="1">Overview!$I$16 + IF(Magic!AD41&gt;0,Constants!$F$77)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44406.333333333241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Row],[Peasants]]*Constants!$B$53,0), 0)</f>
        <v>0</v>
      </c>
      <c r="AA42" s="184"/>
      <c r="AB42" s="185">
        <f ca="1">Overview!$I$16 + IF(Magic!AD42&gt;0,Constants!$F$77)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44406.374999999905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Row],[Peasants]]*Constants!$B$53,0), 0)</f>
        <v>0</v>
      </c>
      <c r="AA43" s="184"/>
      <c r="AB43" s="185">
        <f ca="1">Overview!$I$16 + IF(Magic!AD43&gt;0,Constants!$F$77)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44406.41666666657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Row],[Peasants]]*Constants!$B$53,0), 0)</f>
        <v>0</v>
      </c>
      <c r="AA44" s="184"/>
      <c r="AB44" s="185">
        <f ca="1">Overview!$I$16 + IF(Magic!AD44&gt;0,Constants!$F$77)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44406.458333333234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Row],[Peasants]]*Constants!$B$53,0), 0)</f>
        <v>0</v>
      </c>
      <c r="AA45" s="184"/>
      <c r="AB45" s="185">
        <f ca="1">Overview!$I$16 + IF(Magic!AD45&gt;0,Constants!$F$77)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44406.499999999898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Row],[Peasants]]*Constants!$B$53,0), 0)</f>
        <v>0</v>
      </c>
      <c r="AA46" s="184"/>
      <c r="AB46" s="185">
        <f ca="1">Overview!$I$16 + IF(Magic!AD46&gt;0,Constants!$F$77)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44406.541666666562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Row],[Peasants]]*Constants!$B$53,0), 0)</f>
        <v>0</v>
      </c>
      <c r="AA47" s="184"/>
      <c r="AB47" s="185">
        <f ca="1">Overview!$I$16 + IF(Magic!AD47&gt;0,Constants!$F$77)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44406.583333333227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Row],[Peasants]]*Constants!$B$53,0), 0)</f>
        <v>0</v>
      </c>
      <c r="AA48" s="184"/>
      <c r="AB48" s="185">
        <f ca="1">Overview!$I$16 + IF(Magic!AD48&gt;0,Constants!$F$77)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44406.624999999891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Row],[Peasants]]*Constants!$B$53,0), 0)</f>
        <v>0</v>
      </c>
      <c r="AA49" s="184"/>
      <c r="AB49" s="185">
        <f ca="1">Overview!$I$16 + IF(Magic!AD49&gt;0,Constants!$F$77)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44406.666666666555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Row],[Peasants]]*Constants!$B$53,0), 0)</f>
        <v>0</v>
      </c>
      <c r="AA50" s="184"/>
      <c r="AB50" s="185">
        <f ca="1">Overview!$I$16 + IF(Magic!AD50&gt;0,Constants!$F$77)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44406.708333333219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Row],[Peasants]]*Constants!$B$53,0), 0)</f>
        <v>0</v>
      </c>
      <c r="AA51" s="184"/>
      <c r="AB51" s="185">
        <f ca="1">Overview!$I$16 + IF(Magic!AD51&gt;0,Constants!$F$77)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44406.749999999884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Row],[Peasants]]*Constants!$B$53,0), 0)</f>
        <v>0</v>
      </c>
      <c r="AA52" s="184"/>
      <c r="AB52" s="185">
        <f ca="1">Overview!$I$16 + IF(Magic!AD52&gt;0,Constants!$F$77)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44406.791666666548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Row],[Peasants]]*Constants!$B$53,0), 0)</f>
        <v>0</v>
      </c>
      <c r="AA53" s="184"/>
      <c r="AB53" s="185">
        <f ca="1">Overview!$I$16 + IF(Magic!AD53&gt;0,Constants!$F$77)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44406.833333333212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Row],[Peasants]]*Constants!$B$53,0), 0)</f>
        <v>0</v>
      </c>
      <c r="AA54" s="184"/>
      <c r="AB54" s="185">
        <f ca="1">Overview!$I$16 + IF(Magic!AD54&gt;0,Constants!$F$77)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44406.874999999876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Row],[Peasants]]*Constants!$B$53,0), 0)</f>
        <v>0</v>
      </c>
      <c r="AA55" s="184"/>
      <c r="AB55" s="185">
        <f ca="1">Overview!$I$16 + IF(Magic!AD55&gt;0,Constants!$F$77)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44406.916666666541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Row],[Peasants]]*Constants!$B$53,0), 0)</f>
        <v>0</v>
      </c>
      <c r="AA56" s="184"/>
      <c r="AB56" s="185">
        <f ca="1">Overview!$I$16 + IF(Magic!AD56&gt;0,Constants!$F$77)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44406.958333333205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Row],[Peasants]]*Constants!$B$53,0), 0)</f>
        <v>0</v>
      </c>
      <c r="AA57" s="184"/>
      <c r="AB57" s="185">
        <f ca="1">Overview!$I$16 + IF(Magic!AD57&gt;0,Constants!$F$77)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44406.999999999869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Row],[Peasants]]*Constants!$B$53,0), 0)</f>
        <v>0</v>
      </c>
      <c r="AA58" s="184"/>
      <c r="AB58" s="185">
        <f ca="1">Overview!$I$16 + IF(Magic!AD58&gt;0,Constants!$F$77)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44407.041666666533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Row],[Peasants]]*Constants!$B$53,0), 0)</f>
        <v>0</v>
      </c>
      <c r="AA59" s="184"/>
      <c r="AB59" s="185">
        <f ca="1">Overview!$I$16 + IF(Magic!AD59&gt;0,Constants!$F$77)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44407.083333333198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Row],[Peasants]]*Constants!$B$53,0), 0)</f>
        <v>0</v>
      </c>
      <c r="AA60" s="184"/>
      <c r="AB60" s="185">
        <f ca="1">Overview!$I$16 + IF(Magic!AD60&gt;0,Constants!$F$77)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44407.124999999862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Row],[Peasants]]*Constants!$B$53,0), 0)</f>
        <v>0</v>
      </c>
      <c r="AA61" s="184"/>
      <c r="AB61" s="185">
        <f ca="1">Overview!$I$16 + IF(Magic!AD61&gt;0,Constants!$F$77)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44407.166666666526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Row],[Peasants]]*Constants!$B$53,0), 0)</f>
        <v>0</v>
      </c>
      <c r="AA62" s="184"/>
      <c r="AB62" s="185">
        <f ca="1">Overview!$I$16 + IF(Magic!AD62&gt;0,Constants!$F$77)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44407.20833333319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Row],[Peasants]]*Constants!$B$53,0), 0)</f>
        <v>0</v>
      </c>
      <c r="AA63" s="184"/>
      <c r="AB63" s="185">
        <f ca="1">Overview!$I$16 + IF(Magic!AD63&gt;0,Constants!$F$77)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44407.249999999854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Row],[Peasants]]*Constants!$B$53,0), 0)</f>
        <v>0</v>
      </c>
      <c r="AA64" s="184"/>
      <c r="AB64" s="185">
        <f ca="1">Overview!$I$16 + IF(Magic!AD64&gt;0,Constants!$F$77)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44407.291666666519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Row],[Peasants]]*Constants!$B$53,0), 0)</f>
        <v>0</v>
      </c>
      <c r="AA65" s="184"/>
      <c r="AB65" s="185">
        <f ca="1">Overview!$I$16 + IF(Magic!AD65&gt;0,Constants!$F$77)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44407.333333333183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Row],[Peasants]]*Constants!$B$53,0), 0)</f>
        <v>0</v>
      </c>
      <c r="AA66" s="184"/>
      <c r="AB66" s="185">
        <f ca="1">Overview!$I$16 + IF(Magic!AD66&gt;0,Constants!$F$77)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44407.374999999847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Row],[Peasants]]*Constants!$B$53,0), 0)</f>
        <v>0</v>
      </c>
      <c r="AA67" s="184"/>
      <c r="AB67" s="185">
        <f ca="1">Overview!$I$16 + IF(Magic!AD67&gt;0,Constants!$F$77)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44407.416666666511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Row],[Peasants]]*Constants!$B$53,0), 0)</f>
        <v>0</v>
      </c>
      <c r="AA68" s="184"/>
      <c r="AB68" s="185">
        <f ca="1">Overview!$I$16 + IF(Magic!AD68&gt;0,Constants!$F$77)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44407.458333333176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Row],[Peasants]]*Constants!$B$53,0), 0)</f>
        <v>0</v>
      </c>
      <c r="AA69" s="184"/>
      <c r="AB69" s="185">
        <f ca="1">Overview!$I$16 + IF(Magic!AD69&gt;0,Constants!$F$77)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44407.49999999984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Row],[Peasants]]*Constants!$B$53,0), 0)</f>
        <v>0</v>
      </c>
      <c r="AA70" s="184"/>
      <c r="AB70" s="185">
        <f ca="1">Overview!$I$16 + IF(Magic!AD70&gt;0,Constants!$F$77)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44407.541666666504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Row],[Peasants]]*Constants!$B$53,0), 0)</f>
        <v>0</v>
      </c>
      <c r="AA71" s="184"/>
      <c r="AB71" s="185">
        <f ca="1">Overview!$I$16 + IF(Magic!AD71&gt;0,Constants!$F$77)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44407.583333333168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Row],[Peasants]]*Constants!$B$53,0), 0)</f>
        <v>0</v>
      </c>
      <c r="AA72" s="184"/>
      <c r="AB72" s="185">
        <f ca="1">Overview!$I$16 + IF(Magic!AD72&gt;0,Constants!$F$77)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44407.624999999833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Row],[Peasants]]*Constants!$B$53,0), 0)</f>
        <v>0</v>
      </c>
      <c r="AA73" s="184"/>
      <c r="AB73" s="185">
        <f ca="1">Overview!$I$16 + IF(Magic!AD73&gt;0,Constants!$F$77)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44407.666666666497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Row],[Peasants]]*Constants!$B$53,0), 0)</f>
        <v>0</v>
      </c>
      <c r="AA74" s="184"/>
      <c r="AB74" s="185">
        <f ca="1">Overview!$I$16 + IF(Magic!AD74&gt;0,Constants!$F$77)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44407.708333333161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Row],[Peasants]]*Constants!$B$53,0), 0)</f>
        <v>0</v>
      </c>
      <c r="AA75" s="184"/>
      <c r="AB75" s="185">
        <f ca="1">Overview!$I$16 + IF(Magic!AD75&gt;0,Constants!$F$77)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44407.749999999825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Row],[Peasants]]*Constants!$B$53,0), 0)</f>
        <v>0</v>
      </c>
      <c r="AA76" s="192"/>
      <c r="AB76" s="193">
        <f ca="1">Overview!$I$16 + IF(Magic!AD76&gt;0,Constants!$F$77)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44407.79166666649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Row],[Peasants]]*Constants!$B$53,0), 0)</f>
        <v>0</v>
      </c>
      <c r="AA77" s="184"/>
      <c r="AB77" s="185">
        <f ca="1">Overview!$I$16 + IF(Magic!AD77&gt;0,Constants!$F$77)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44407.833333333154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Row],[Peasants]]*Constants!$B$53,0), 0)</f>
        <v>0</v>
      </c>
      <c r="AA78" s="184"/>
      <c r="AB78" s="185">
        <f ca="1">Overview!$I$16 + IF(Magic!AD78&gt;0,Constants!$F$77)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44407.874999999818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Row],[Peasants]]*Constants!$B$53,0), 0)</f>
        <v>0</v>
      </c>
      <c r="AA79" s="184"/>
      <c r="AB79" s="185">
        <f ca="1">Overview!$I$16 + IF(Magic!AD79&gt;0,Constants!$F$77)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44407.916666666482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Row],[Peasants]]*Constants!$B$53,0), 0)</f>
        <v>0</v>
      </c>
      <c r="AA80" s="184"/>
      <c r="AB80" s="185">
        <f ca="1">Overview!$I$16 + IF(Magic!AD80&gt;0,Constants!$F$77)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44407.958333333147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Row],[Peasants]]*Constants!$B$53,0), 0)</f>
        <v>0</v>
      </c>
      <c r="AA81" s="184"/>
      <c r="AB81" s="185">
        <f ca="1">Overview!$I$16 + IF(Magic!AD81&gt;0,Constants!$F$77)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44407.999999999811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Row],[Peasants]]*Constants!$B$53,0), 0)</f>
        <v>0</v>
      </c>
      <c r="AA82" s="184"/>
      <c r="AB82" s="185">
        <f ca="1">Overview!$I$16 + IF(Magic!AD82&gt;0,Constants!$F$77)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44408.041666666475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Row],[Peasants]]*Constants!$B$53,0), 0)</f>
        <v>0</v>
      </c>
      <c r="AA83" s="184"/>
      <c r="AB83" s="185">
        <f ca="1">Overview!$I$16 + IF(Magic!AD83&gt;0,Constants!$F$77)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44408.083333333139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Row],[Peasants]]*Constants!$B$53,0), 0)</f>
        <v>0</v>
      </c>
      <c r="AA84" s="184"/>
      <c r="AB84" s="185">
        <f ca="1">Overview!$I$16 + IF(Magic!AD84&gt;0,Constants!$F$77)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44408.124999999804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Row],[Peasants]]*Constants!$B$53,0), 0)</f>
        <v>0</v>
      </c>
      <c r="AA85" s="184"/>
      <c r="AB85" s="185">
        <f ca="1">Overview!$I$16 + IF(Magic!AD85&gt;0,Constants!$F$77)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44408.166666666468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Row],[Peasants]]*Constants!$B$53,0), 0)</f>
        <v>0</v>
      </c>
      <c r="AA86" s="184"/>
      <c r="AB86" s="185">
        <f ca="1">Overview!$I$16 + IF(Magic!AD86&gt;0,Constants!$F$77)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44408.208333333132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Row],[Peasants]]*Constants!$B$53,0), 0)</f>
        <v>0</v>
      </c>
      <c r="AA87" s="184"/>
      <c r="AB87" s="185">
        <f ca="1">Overview!$I$16 + IF(Magic!AD87&gt;0,Constants!$F$77)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44408.249999999796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Row],[Peasants]]*Constants!$B$53,0), 0)</f>
        <v>0</v>
      </c>
      <c r="AA88" s="184"/>
      <c r="AB88" s="185">
        <f ca="1">Overview!$I$16 + IF(Magic!AD88&gt;0,Constants!$F$77)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44408.291666666461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Row],[Peasants]]*Constants!$B$53,0), 0)</f>
        <v>0</v>
      </c>
      <c r="AA89" s="184"/>
      <c r="AB89" s="185">
        <f ca="1">Overview!$I$16 + IF(Magic!AD89&gt;0,Constants!$F$77)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44408.333333333125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Row],[Peasants]]*Constants!$B$53,0), 0)</f>
        <v>0</v>
      </c>
      <c r="AA90" s="184"/>
      <c r="AB90" s="185">
        <f ca="1">Overview!$I$16 + IF(Magic!AD90&gt;0,Constants!$F$77)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44408.374999999789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Row],[Peasants]]*Constants!$B$53,0), 0)</f>
        <v>0</v>
      </c>
      <c r="AA91" s="184"/>
      <c r="AB91" s="185">
        <f ca="1">Overview!$I$16 + IF(Magic!AD91&gt;0,Constants!$F$77)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44408.416666666453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Row],[Peasants]]*Constants!$B$53,0), 0)</f>
        <v>0</v>
      </c>
      <c r="AA92" s="184"/>
      <c r="AB92" s="185">
        <f ca="1">Overview!$I$16 + IF(Magic!AD92&gt;0,Constants!$F$77)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44408.458333333117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Row],[Peasants]]*Constants!$B$53,0), 0)</f>
        <v>0</v>
      </c>
      <c r="AA93" s="184"/>
      <c r="AB93" s="185">
        <f ca="1">Overview!$I$16 + IF(Magic!AD93&gt;0,Constants!$F$77)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44408.499999999782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Row],[Peasants]]*Constants!$B$53,0), 0)</f>
        <v>0</v>
      </c>
      <c r="AA94" s="184"/>
      <c r="AB94" s="185">
        <f ca="1">Overview!$I$16 + IF(Magic!AD94&gt;0,Constants!$F$77)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44408.541666666446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Row],[Peasants]]*Constants!$B$53,0), 0)</f>
        <v>0</v>
      </c>
      <c r="AA95" s="184"/>
      <c r="AB95" s="185">
        <f ca="1">Overview!$I$16 + IF(Magic!AD95&gt;0,Constants!$F$77)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44408.58333333311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Row],[Peasants]]*Constants!$B$53,0), 0)</f>
        <v>0</v>
      </c>
      <c r="AA96" s="184"/>
      <c r="AB96" s="185">
        <f ca="1">Overview!$I$16 + IF(Magic!AD96&gt;0,Constants!$F$77)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44408.624999999774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Row],[Peasants]]*Constants!$B$53,0), 0)</f>
        <v>0</v>
      </c>
      <c r="AA97" s="184"/>
      <c r="AB97" s="185">
        <f ca="1">Overview!$I$16 + IF(Magic!AD97&gt;0,Constants!$F$77)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44408.666666666439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Row],[Peasants]]*Constants!$B$53,0), 0)</f>
        <v>0</v>
      </c>
      <c r="AA98" s="184"/>
      <c r="AB98" s="185">
        <f ca="1">Overview!$I$16 + IF(Magic!AD98&gt;0,Constants!$F$77)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44408.708333333103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Row],[Peasants]]*Constants!$B$53,0), 0)</f>
        <v>0</v>
      </c>
      <c r="AA99" s="184"/>
      <c r="AB99" s="185">
        <f ca="1">Overview!$I$16 + IF(Magic!AD99&gt;0,Constants!$F$77)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44408.749999999767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Row],[Peasants]]*Constants!$B$53,0), 0)</f>
        <v>0</v>
      </c>
      <c r="AA100" s="184"/>
      <c r="AB100" s="185">
        <f ca="1">Overview!$I$16 + IF(Magic!AD100&gt;0,Constants!$F$77)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44408.791666666431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Row],[Peasants]]*Constants!$B$53,0), 0)</f>
        <v>0</v>
      </c>
      <c r="AA101" s="184"/>
      <c r="AB101" s="185">
        <f ca="1">Overview!$I$16 + IF(Magic!AD101&gt;0,Constants!$F$77)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44408.833333333096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Row],[Peasants]]*Constants!$B$53,0), 0)</f>
        <v>0</v>
      </c>
      <c r="AA102" s="184"/>
      <c r="AB102" s="185">
        <f ca="1">Overview!$I$16 + IF(Magic!AD102&gt;0,Constants!$F$77)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44408.87499999976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Row],[Peasants]]*Constants!$B$53,0), 0)</f>
        <v>0</v>
      </c>
      <c r="AA103" s="184"/>
      <c r="AB103" s="185">
        <f ca="1">Overview!$I$16 + IF(Magic!AD103&gt;0,Constants!$F$77)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44408.916666666424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Row],[Peasants]]*Constants!$B$53,0), 0)</f>
        <v>0</v>
      </c>
      <c r="AA104" s="184"/>
      <c r="AB104" s="185">
        <f ca="1">Overview!$I$16 + IF(Magic!AD104&gt;0,Constants!$F$77)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44408.958333333088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Row],[Peasants]]*Constants!$B$53,0), 0)</f>
        <v>0</v>
      </c>
      <c r="AA105" s="184"/>
      <c r="AB105" s="185">
        <f ca="1">Overview!$I$16 + IF(Magic!AD105&gt;0,Constants!$F$77)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44408.999999999753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Row],[Peasants]]*Constants!$B$53,0), 0)</f>
        <v>0</v>
      </c>
      <c r="AA106" s="184"/>
      <c r="AB106" s="185">
        <f ca="1">Overview!$I$16 + IF(Magic!AD106&gt;0,Constants!$F$77)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44409.041666666417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Row],[Peasants]]*Constants!$B$53,0), 0)</f>
        <v>0</v>
      </c>
      <c r="AA107" s="184"/>
      <c r="AB107" s="185">
        <f ca="1">Overview!$I$16 + IF(Magic!AD107&gt;0,Constants!$F$77)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44409.083333333081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Row],[Peasants]]*Constants!$B$53,0), 0)</f>
        <v>0</v>
      </c>
      <c r="AA108" s="184"/>
      <c r="AB108" s="185">
        <f ca="1">Overview!$I$16 + IF(Magic!AD108&gt;0,Constants!$F$77)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44409.124999999745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Row],[Peasants]]*Constants!$B$53,0), 0)</f>
        <v>0</v>
      </c>
      <c r="AA109" s="184"/>
      <c r="AB109" s="185">
        <f ca="1">Overview!$I$16 + IF(Magic!AD109&gt;0,Constants!$F$77)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44409.16666666641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Row],[Peasants]]*Constants!$B$53,0), 0)</f>
        <v>0</v>
      </c>
      <c r="AA110" s="184"/>
      <c r="AB110" s="185">
        <f ca="1">Overview!$I$16 + IF(Magic!AD110&gt;0,Constants!$F$77)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44409.208333333074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Row],[Peasants]]*Constants!$B$53,0), 0)</f>
        <v>0</v>
      </c>
      <c r="AA111" s="184"/>
      <c r="AB111" s="185">
        <f ca="1">Overview!$I$16 + IF(Magic!AD111&gt;0,Constants!$F$77)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44409.249999999738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Row],[Peasants]]*Constants!$B$53,0), 0)</f>
        <v>0</v>
      </c>
      <c r="AA112" s="184"/>
      <c r="AB112" s="185">
        <f ca="1">Overview!$I$16 + IF(Magic!AD112&gt;0,Constants!$F$77)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44409.291666666402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Row],[Peasants]]*Constants!$B$53,0), 0)</f>
        <v>0</v>
      </c>
      <c r="AA113" s="184"/>
      <c r="AB113" s="185">
        <f ca="1">Overview!$I$16 + IF(Magic!AD113&gt;0,Constants!$F$77)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44409.333333333067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Row],[Peasants]]*Constants!$B$53,0), 0)</f>
        <v>0</v>
      </c>
      <c r="AA114" s="184"/>
      <c r="AB114" s="185">
        <f ca="1">Overview!$I$16 + IF(Magic!AD114&gt;0,Constants!$F$77)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44409.374999999731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Row],[Peasants]]*Constants!$B$53,0), 0)</f>
        <v>0</v>
      </c>
      <c r="AA115" s="184"/>
      <c r="AB115" s="185">
        <f ca="1">Overview!$I$16 + IF(Magic!AD115&gt;0,Constants!$F$77)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44409.416666666395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Row],[Peasants]]*Constants!$B$53,0), 0)</f>
        <v>0</v>
      </c>
      <c r="AA116" s="184"/>
      <c r="AB116" s="185">
        <f ca="1">Overview!$I$16 + IF(Magic!AD116&gt;0,Constants!$F$77)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44409.458333333059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Row],[Peasants]]*Constants!$B$53,0), 0)</f>
        <v>0</v>
      </c>
      <c r="AA117" s="184"/>
      <c r="AB117" s="185">
        <f ca="1">Overview!$I$16 + IF(Magic!AD117&gt;0,Constants!$F$77)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44409.499999999724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Row],[Peasants]]*Constants!$B$53,0), 0)</f>
        <v>0</v>
      </c>
      <c r="AA118" s="184"/>
      <c r="AB118" s="185">
        <f ca="1">Overview!$I$16 + IF(Magic!AD118&gt;0,Constants!$F$77)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44409.541666666388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Row],[Peasants]]*Constants!$B$53,0), 0)</f>
        <v>0</v>
      </c>
      <c r="AA119" s="184"/>
      <c r="AB119" s="185">
        <f ca="1">Overview!$I$16 + IF(Magic!AD119&gt;0,Constants!$F$77)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44409.583333333052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Row],[Peasants]]*Constants!$B$53,0), 0)</f>
        <v>0</v>
      </c>
      <c r="AA120" s="184"/>
      <c r="AB120" s="185">
        <f ca="1">Overview!$I$16 + IF(Magic!AD120&gt;0,Constants!$F$77)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44409.624999999716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Row],[Peasants]]*Constants!$B$53,0), 0)</f>
        <v>0</v>
      </c>
      <c r="AA121" s="184"/>
      <c r="AB121" s="185">
        <f ca="1">Overview!$I$16 + IF(Magic!AD121&gt;0,Constants!$F$77)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44409.66666666638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Row],[Peasants]]*Constants!$B$53,0), 0)</f>
        <v>0</v>
      </c>
      <c r="AA122" s="184"/>
      <c r="AB122" s="185">
        <f ca="1">Overview!$I$16 + IF(Magic!AD122&gt;0,Constants!$F$77)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44409.708333333045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Row],[Peasants]]*Constants!$B$53,0), 0)</f>
        <v>0</v>
      </c>
      <c r="AA123" s="184"/>
      <c r="AB123" s="185">
        <f ca="1">Overview!$I$16 + IF(Magic!AD123&gt;0,Constants!$F$77)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44409.749999999709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Row],[Peasants]]*Constants!$B$53,0), 0)</f>
        <v>0</v>
      </c>
      <c r="AA124" s="184"/>
      <c r="AB124" s="185">
        <f ca="1">Overview!$I$16 + IF(Magic!AD124&gt;0,Constants!$F$77)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44409.791666666373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Row],[Peasants]]*Constants!$B$53,0), 0)</f>
        <v>0</v>
      </c>
      <c r="AA125" s="184"/>
      <c r="AB125" s="185">
        <f ca="1">Overview!$I$16 + IF(Magic!AD125&gt;0,Constants!$F$77)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44409.833333333037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Row],[Peasants]]*Constants!$B$53,0), 0)</f>
        <v>0</v>
      </c>
      <c r="AA126" s="184"/>
      <c r="AB126" s="185">
        <f ca="1">Overview!$I$16 + IF(Magic!AD126&gt;0,Constants!$F$77)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44409.874999999702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Row],[Peasants]]*Constants!$B$53,0), 0)</f>
        <v>0</v>
      </c>
      <c r="AA127" s="184"/>
      <c r="AB127" s="185">
        <f ca="1">Overview!$I$16 + IF(Magic!AD127&gt;0,Constants!$F$77)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44409.916666666366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Row],[Peasants]]*Constants!$B$53,0), 0)</f>
        <v>0</v>
      </c>
      <c r="AA128" s="184"/>
      <c r="AB128" s="185">
        <f ca="1">Overview!$I$16 + IF(Magic!AD128&gt;0,Constants!$F$77)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44409.95833333303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Row],[Peasants]]*Constants!$B$53,0), 0)</f>
        <v>0</v>
      </c>
      <c r="AA129" s="184"/>
      <c r="AB129" s="185">
        <f ca="1">Overview!$I$16 + IF(Magic!AD129&gt;0,Constants!$F$77)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44409.999999999694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Row],[Peasants]]*Constants!$B$53,0), 0)</f>
        <v>0</v>
      </c>
      <c r="AA130" s="184"/>
      <c r="AB130" s="185">
        <f ca="1">Overview!$I$16 + IF(Magic!AD130&gt;0,Constants!$F$77)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44410.041666666359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Row],[Peasants]]*Constants!$B$53,0), 0)</f>
        <v>0</v>
      </c>
      <c r="AA131" s="184"/>
      <c r="AB131" s="185">
        <f ca="1">Overview!$I$16 + IF(Magic!AD131&gt;0,Constants!$F$77)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44410.083333333023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Row],[Peasants]]*Constants!$B$53,0), 0)</f>
        <v>0</v>
      </c>
      <c r="AA132" s="184"/>
      <c r="AB132" s="185">
        <f ca="1">Overview!$I$16 + IF(Magic!AD132&gt;0,Constants!$F$77)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44410.124999999687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Row],[Peasants]]*Constants!$B$53,0), 0)</f>
        <v>0</v>
      </c>
      <c r="AA133" s="184"/>
      <c r="AB133" s="185">
        <f ca="1">Overview!$I$16 + IF(Magic!AD133&gt;0,Constants!$F$77)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44410.166666666351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Row],[Peasants]]*Constants!$B$53,0), 0)</f>
        <v>0</v>
      </c>
      <c r="AA134" s="184"/>
      <c r="AB134" s="185">
        <f ca="1">Overview!$I$16 + IF(Magic!AD134&gt;0,Constants!$F$77)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44410.208333333016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Row],[Peasants]]*Constants!$B$53,0), 0)</f>
        <v>0</v>
      </c>
      <c r="AA135" s="184"/>
      <c r="AB135" s="185">
        <f ca="1">Overview!$I$16 + IF(Magic!AD135&gt;0,Constants!$F$77)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44410.24999999968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Row],[Peasants]]*Constants!$B$53,0), 0)</f>
        <v>0</v>
      </c>
      <c r="AA136" s="184"/>
      <c r="AB136" s="185" t="e">
        <f ca="1">Overview!$I$16 + IF(Magic!AD136&gt;0,Constants!$F$77)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5" t="s">
        <v>327</v>
      </c>
      <c r="D1269" s="541"/>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59" priority="1" stopIfTrue="1">
      <formula>OR(C4&lt;0,ROW()-3=$C$1270)</formula>
    </cfRule>
  </conditionalFormatting>
  <conditionalFormatting sqref="A1269:XFD1270">
    <cfRule type="expression" dxfId="858" priority="106" stopIfTrue="1">
      <formula>$C$1270&gt;144</formula>
    </cfRule>
  </conditionalFormatting>
  <conditionalFormatting sqref="A4:AC136">
    <cfRule type="expression" dxfId="857" priority="12" stopIfTrue="1">
      <formula>ROW()-3=$C$1270</formula>
    </cfRule>
    <cfRule type="expression" dxfId="856" priority="112">
      <formula>$A4=73</formula>
    </cfRule>
    <cfRule type="expression" dxfId="855" priority="113">
      <formula>ROUND(($A4-1)/12,0)=INT($A4-1)/12</formula>
    </cfRule>
  </conditionalFormatting>
  <conditionalFormatting sqref="A1:XFD3">
    <cfRule type="expression" dxfId="854"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240</v>
      </c>
      <c r="E1" s="72" t="s">
        <v>17</v>
      </c>
      <c r="S1" s="588" t="s">
        <v>259</v>
      </c>
      <c r="T1" s="588"/>
      <c r="U1" s="588"/>
      <c r="AA1" s="588" t="s">
        <v>85</v>
      </c>
      <c r="AB1" s="588"/>
      <c r="AH1" s="588" t="s">
        <v>176</v>
      </c>
      <c r="AI1" s="588"/>
      <c r="AJ1" s="588"/>
      <c r="AK1" s="588"/>
      <c r="AL1" s="588"/>
      <c r="AM1" s="588"/>
      <c r="AO1" s="72" t="s">
        <v>19</v>
      </c>
      <c r="AT1" s="588" t="s">
        <v>196</v>
      </c>
      <c r="AU1" s="588"/>
      <c r="BC1" s="72" t="s">
        <v>433</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322</v>
      </c>
      <c r="C3" s="196" t="s">
        <v>333</v>
      </c>
      <c r="D3" s="196" t="s">
        <v>801</v>
      </c>
      <c r="E3" s="196" t="s">
        <v>1</v>
      </c>
      <c r="F3" s="196" t="s">
        <v>21</v>
      </c>
      <c r="G3" s="196" t="s">
        <v>242</v>
      </c>
      <c r="H3" s="196" t="s">
        <v>2</v>
      </c>
      <c r="I3" s="196" t="s">
        <v>5</v>
      </c>
      <c r="J3" s="196" t="s">
        <v>7</v>
      </c>
      <c r="K3" s="196" t="s">
        <v>12</v>
      </c>
      <c r="L3" s="196" t="s">
        <v>3</v>
      </c>
      <c r="M3" s="196" t="s">
        <v>4</v>
      </c>
      <c r="N3" s="196" t="s">
        <v>82</v>
      </c>
      <c r="O3" s="196" t="s">
        <v>363</v>
      </c>
      <c r="P3" s="196" t="s">
        <v>383</v>
      </c>
      <c r="Q3" s="196" t="s">
        <v>384</v>
      </c>
      <c r="R3" s="196" t="s">
        <v>802</v>
      </c>
      <c r="S3" s="196" t="s">
        <v>6</v>
      </c>
      <c r="T3" s="196" t="s">
        <v>9</v>
      </c>
      <c r="U3" s="196" t="s">
        <v>8</v>
      </c>
      <c r="V3" s="196" t="s">
        <v>13</v>
      </c>
      <c r="W3" s="196" t="s">
        <v>10</v>
      </c>
      <c r="X3" s="196" t="s">
        <v>11</v>
      </c>
      <c r="Y3" s="196" t="s">
        <v>50</v>
      </c>
      <c r="Z3" s="196" t="s">
        <v>803</v>
      </c>
      <c r="AA3" s="196" t="s">
        <v>870</v>
      </c>
      <c r="AB3" s="196" t="s">
        <v>871</v>
      </c>
      <c r="AC3" s="196" t="s">
        <v>872</v>
      </c>
      <c r="AD3" s="196" t="s">
        <v>873</v>
      </c>
      <c r="AE3" s="196" t="s">
        <v>874</v>
      </c>
      <c r="AF3" s="196" t="s">
        <v>875</v>
      </c>
      <c r="AG3" s="196" t="s">
        <v>804</v>
      </c>
      <c r="AH3" s="196" t="s">
        <v>876</v>
      </c>
      <c r="AI3" s="196" t="s">
        <v>877</v>
      </c>
      <c r="AJ3" s="196" t="s">
        <v>878</v>
      </c>
      <c r="AK3" s="196" t="s">
        <v>879</v>
      </c>
      <c r="AL3" s="196" t="s">
        <v>880</v>
      </c>
      <c r="AM3" s="196" t="s">
        <v>881</v>
      </c>
      <c r="AN3" s="196" t="s">
        <v>821</v>
      </c>
      <c r="AO3" s="196" t="s">
        <v>14</v>
      </c>
      <c r="AP3" s="196" t="s">
        <v>20</v>
      </c>
      <c r="AQ3" s="196" t="s">
        <v>16</v>
      </c>
      <c r="AR3" s="196" t="s">
        <v>15</v>
      </c>
      <c r="AS3" s="196" t="s">
        <v>822</v>
      </c>
      <c r="AT3" s="196" t="s">
        <v>882</v>
      </c>
      <c r="AU3" s="196" t="s">
        <v>883</v>
      </c>
      <c r="AV3" s="196" t="s">
        <v>884</v>
      </c>
      <c r="AW3" s="196" t="s">
        <v>885</v>
      </c>
      <c r="AX3" s="196" t="s">
        <v>886</v>
      </c>
      <c r="AY3" s="196" t="s">
        <v>823</v>
      </c>
      <c r="AZ3" s="196" t="s">
        <v>337</v>
      </c>
      <c r="BA3" s="196" t="s">
        <v>338</v>
      </c>
      <c r="BB3" s="196" t="s">
        <v>887</v>
      </c>
      <c r="BC3" s="196" t="s">
        <v>888</v>
      </c>
      <c r="BD3" s="196" t="s">
        <v>889</v>
      </c>
      <c r="BE3" s="196" t="s">
        <v>890</v>
      </c>
      <c r="BF3" s="196" t="s">
        <v>891</v>
      </c>
      <c r="BG3" s="196" t="s">
        <v>892</v>
      </c>
      <c r="BH3" s="196" t="s">
        <v>205</v>
      </c>
      <c r="BI3" s="196" t="s">
        <v>893</v>
      </c>
      <c r="BJ3" s="196" t="s">
        <v>894</v>
      </c>
      <c r="BK3" s="196" t="s">
        <v>895</v>
      </c>
      <c r="BL3" s="196" t="s">
        <v>896</v>
      </c>
      <c r="BM3" s="196" t="s">
        <v>897</v>
      </c>
    </row>
    <row r="4" spans="1:65" x14ac:dyDescent="0.2">
      <c r="A4" s="178">
        <f>TblRezone[[#This Row],[Hour]]</f>
        <v>1</v>
      </c>
      <c r="B4" s="198">
        <f>TblImps[[#This Row],[Time]]</f>
        <v>44404.75</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44404.75</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44404.791666666664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44404.791666666664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44404.833333333328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44404.833333333328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44404.874999999993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44404.874999999993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44404.916666666657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44404.916666666657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44404.958333333321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44404.958333333321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44404.999999999985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44404.999999999985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44405.04166666665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44405.04166666665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44405.083333333314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44405.083333333314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44405.124999999978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44405.124999999978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44405.166666666642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44405.166666666642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44405.208333333307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0</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44405.208333333307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44405.249999999971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0</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44405.249999999971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44405.291666666635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0</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44405.291666666635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44405.333333333299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0</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44405.333333333299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44405.374999999964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0</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44405.374999999964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44405.416666666628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0</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44405.416666666628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44405.458333333292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0</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44405.458333333292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44405.499999999956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0</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44405.499999999956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44405.541666666621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0</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44405.541666666621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44405.583333333285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0</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44405.583333333285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44405.624999999949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0</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44405.624999999949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44405.666666666613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0</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44405.666666666613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44405.708333333278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(Construction!AZ28+Construction!BX28)*(alch_plat+(Magic!AL27&gt;0)*alchemist_flame_bonus)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0</v>
      </c>
      <c r="AE27" s="113">
        <f ca="1">OFFSET(TblConstr[[#This Row],[Tot OM]],1,0)*om_ore+IF(race="Dwarf",ROUNDDOWN(TblMili[[#This Row],[Unit 2]]/2,0),)</f>
        <v>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44405.708333333278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44405.749999999942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(Construction!AZ29+Construction!BX29)*(alch_plat+(Magic!AL28&gt;0)*alchemist_flame_bonus)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f>
        <v>0</v>
      </c>
      <c r="AE28" s="113">
        <f ca="1">OFFSET(TblConstr[[#This Row],[Tot OM]],1,0)*om_ore+IF(race="Dwarf",ROUNDDOWN(TblMili[[#This Row],[Unit 2]]/2,0),)</f>
        <v>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44405.749999999942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44405.791666666606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(Construction!AZ30+Construction!BX30)*(alch_plat+(Magic!AL29&gt;0)*alchemist_flame_bonus)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f>
        <v>0</v>
      </c>
      <c r="AE29" s="113">
        <f ca="1">OFFSET(TblConstr[[#This Row],[Tot OM]],1,0)*om_ore+IF(race="Dwarf",ROUNDDOWN(TblMili[[#This Row],[Unit 2]]/2,0),)</f>
        <v>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44405.791666666606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44405.83333333327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(Construction!AZ31+Construction!BX31)*(alch_plat+(Magic!AL30&gt;0)*alchemist_flame_bonus)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f>
        <v>0</v>
      </c>
      <c r="AE30" s="113">
        <f ca="1">OFFSET(TblConstr[[#This Row],[Tot OM]],1,0)*om_ore+IF(race="Dwarf",ROUNDDOWN(TblMili[[#This Row],[Unit 2]]/2,0),)</f>
        <v>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44405.83333333327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44405.874999999935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(Construction!AZ32+Construction!BX32)*(alch_plat+(Magic!AL31&gt;0)*alchemist_flame_bonus)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f>
        <v>0</v>
      </c>
      <c r="AE31" s="113">
        <f ca="1">OFFSET(TblConstr[[#This Row],[Tot OM]],1,0)*om_ore+IF(race="Dwarf",ROUNDDOWN(TblMili[[#This Row],[Unit 2]]/2,0),)</f>
        <v>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44405.874999999935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44405.916666666599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(Construction!AZ33+Construction!BX33)*(alch_plat+(Magic!AL32&gt;0)*alchemist_flame_bonus)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f>
        <v>0</v>
      </c>
      <c r="AE32" s="113">
        <f ca="1">OFFSET(TblConstr[[#This Row],[Tot OM]],1,0)*om_ore+IF(race="Dwarf",ROUNDDOWN(TblMili[[#This Row],[Unit 2]]/2,0),)</f>
        <v>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44405.916666666599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44405.958333333263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(Construction!AZ34+Construction!BX34)*(alch_plat+(Magic!AL33&gt;0)*alchemist_flame_bonus)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f>
        <v>0</v>
      </c>
      <c r="AE33" s="113">
        <f ca="1">OFFSET(TblConstr[[#This Row],[Tot OM]],1,0)*om_ore+IF(race="Dwarf",ROUNDDOWN(TblMili[[#This Row],[Unit 2]]/2,0),)</f>
        <v>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44405.958333333263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44405.999999999927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(Construction!AZ35+Construction!BX35)*(alch_plat+(Magic!AL34&gt;0)*alchemist_flame_bonus)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f>
        <v>0</v>
      </c>
      <c r="AE34" s="113">
        <f ca="1">OFFSET(TblConstr[[#This Row],[Tot OM]],1,0)*om_ore+IF(race="Dwarf",ROUNDDOWN(TblMili[[#This Row],[Unit 2]]/2,0),)</f>
        <v>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44405.999999999927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44406.041666666591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(Construction!AZ36+Construction!BX36)*(alch_plat+(Magic!AL35&gt;0)*alchemist_flame_bonus)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f>
        <v>0</v>
      </c>
      <c r="AE35" s="113">
        <f ca="1">OFFSET(TblConstr[[#This Row],[Tot OM]],1,0)*om_ore+IF(race="Dwarf",ROUNDDOWN(TblMili[[#This Row],[Unit 2]]/2,0),)</f>
        <v>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44406.041666666591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44406.083333333256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(Construction!AZ37+Construction!BX37)*(alch_plat+(Magic!AL36&gt;0)*alchemist_flame_bonus)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f>
        <v>0</v>
      </c>
      <c r="AE36" s="113">
        <f ca="1">OFFSET(TblConstr[[#This Row],[Tot OM]],1,0)*om_ore+IF(race="Dwarf",ROUNDDOWN(TblMili[[#This Row],[Unit 2]]/2,0),)</f>
        <v>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44406.083333333256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44406.12499999992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(Construction!AZ38+Construction!BX38)*(alch_plat+(Magic!AL37&gt;0)*alchemist_flame_bonus)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f>
        <v>0</v>
      </c>
      <c r="AE37" s="113">
        <f ca="1">OFFSET(TblConstr[[#This Row],[Tot OM]],1,0)*om_ore+IF(race="Dwarf",ROUNDDOWN(TblMili[[#This Row],[Unit 2]]/2,0),)</f>
        <v>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44406.12499999992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44406.166666666584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(Construction!AZ39+Construction!BX39)*(alch_plat+(Magic!AL38&gt;0)*alchemist_flame_bonus)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f>
        <v>0</v>
      </c>
      <c r="AE38" s="113">
        <f ca="1">OFFSET(TblConstr[[#This Row],[Tot OM]],1,0)*om_ore+IF(race="Dwarf",ROUNDDOWN(TblMili[[#This Row],[Unit 2]]/2,0),)</f>
        <v>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44406.166666666584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44406.208333333248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(Construction!AZ40+Construction!BX40)*(alch_plat+(Magic!AL39&gt;0)*alchemist_flame_bonus)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f>
        <v>0</v>
      </c>
      <c r="AE39" s="113">
        <f ca="1">OFFSET(TblConstr[[#This Row],[Tot OM]],1,0)*om_ore+IF(race="Dwarf",ROUNDDOWN(TblMili[[#This Row],[Unit 2]]/2,0),)</f>
        <v>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44406.208333333248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44406.249999999913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(Construction!AZ41+Construction!BX41)*(alch_plat+(Magic!AL40&gt;0)*alchemist_flame_bonus)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f>
        <v>0</v>
      </c>
      <c r="AE40" s="113">
        <f ca="1">OFFSET(TblConstr[[#This Row],[Tot OM]],1,0)*om_ore+IF(race="Dwarf",ROUNDDOWN(TblMili[[#This Row],[Unit 2]]/2,0),)</f>
        <v>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44406.249999999913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44406.291666666577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(Construction!AZ42+Construction!BX42)*(alch_plat+(Magic!AL41&gt;0)*alchemist_flame_bonus)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f>
        <v>0</v>
      </c>
      <c r="AE41" s="113">
        <f ca="1">OFFSET(TblConstr[[#This Row],[Tot OM]],1,0)*om_ore+IF(race="Dwarf",ROUNDDOWN(TblMili[[#This Row],[Unit 2]]/2,0),)</f>
        <v>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44406.291666666577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44406.333333333241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(Construction!AZ43+Construction!BX43)*(alch_plat+(Magic!AL42&gt;0)*alchemist_flame_bonus)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f>
        <v>0</v>
      </c>
      <c r="AE42" s="113">
        <f ca="1">OFFSET(TblConstr[[#This Row],[Tot OM]],1,0)*om_ore+IF(race="Dwarf",ROUNDDOWN(TblMili[[#This Row],[Unit 2]]/2,0),)</f>
        <v>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44406.333333333241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44406.374999999905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(Construction!AZ44+Construction!BX44)*(alch_plat+(Magic!AL43&gt;0)*alchemist_flame_bonus)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f>
        <v>0</v>
      </c>
      <c r="AE43" s="113">
        <f ca="1">OFFSET(TblConstr[[#This Row],[Tot OM]],1,0)*om_ore+IF(race="Dwarf",ROUNDDOWN(TblMili[[#This Row],[Unit 2]]/2,0),)</f>
        <v>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44406.374999999905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44406.41666666657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(Construction!AZ45+Construction!BX45)*(alch_plat+(Magic!AL44&gt;0)*alchemist_flame_bonus)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f>
        <v>0</v>
      </c>
      <c r="AE44" s="113">
        <f ca="1">OFFSET(TblConstr[[#This Row],[Tot OM]],1,0)*om_ore+IF(race="Dwarf",ROUNDDOWN(TblMili[[#This Row],[Unit 2]]/2,0),)</f>
        <v>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44406.41666666657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44406.458333333234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(Construction!AZ46+Construction!BX46)*(alch_plat+(Magic!AL45&gt;0)*alchemist_flame_bonus)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f>
        <v>0</v>
      </c>
      <c r="AE45" s="113">
        <f ca="1">OFFSET(TblConstr[[#This Row],[Tot OM]],1,0)*om_ore+IF(race="Dwarf",ROUNDDOWN(TblMili[[#This Row],[Unit 2]]/2,0),)</f>
        <v>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44406.458333333234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44406.499999999898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(Construction!AZ47+Construction!BX47)*(alch_plat+(Magic!AL46&gt;0)*alchemist_flame_bonus)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f>
        <v>0</v>
      </c>
      <c r="AE46" s="113">
        <f ca="1">OFFSET(TblConstr[[#This Row],[Tot OM]],1,0)*om_ore+IF(race="Dwarf",ROUNDDOWN(TblMili[[#This Row],[Unit 2]]/2,0),)</f>
        <v>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44406.499999999898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44406.541666666562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(Construction!AZ48+Construction!BX48)*(alch_plat+(Magic!AL47&gt;0)*alchemist_flame_bonus)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f>
        <v>0</v>
      </c>
      <c r="AE47" s="113">
        <f ca="1">OFFSET(TblConstr[[#This Row],[Tot OM]],1,0)*om_ore+IF(race="Dwarf",ROUNDDOWN(TblMili[[#This Row],[Unit 2]]/2,0),)</f>
        <v>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44406.541666666562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44406.583333333227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(Construction!AZ49+Construction!BX49)*(alch_plat+(Magic!AL48&gt;0)*alchemist_flame_bonus)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f>
        <v>0</v>
      </c>
      <c r="AE48" s="113">
        <f ca="1">OFFSET(TblConstr[[#This Row],[Tot OM]],1,0)*om_ore+IF(race="Dwarf",ROUNDDOWN(TblMili[[#This Row],[Unit 2]]/2,0),)</f>
        <v>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44406.583333333227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44406.624999999891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(Construction!AZ50+Construction!BX50)*(alch_plat+(Magic!AL49&gt;0)*alchemist_flame_bonus)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f>
        <v>0</v>
      </c>
      <c r="AE49" s="113">
        <f ca="1">OFFSET(TblConstr[[#This Row],[Tot OM]],1,0)*om_ore+IF(race="Dwarf",ROUNDDOWN(TblMili[[#This Row],[Unit 2]]/2,0),)</f>
        <v>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44406.624999999891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44406.666666666555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(Construction!AZ51+Construction!BX51)*(alch_plat+(Magic!AL50&gt;0)*alchemist_flame_bonus)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f>
        <v>0</v>
      </c>
      <c r="AE50" s="113">
        <f ca="1">OFFSET(TblConstr[[#This Row],[Tot OM]],1,0)*om_ore+IF(race="Dwarf",ROUNDDOWN(TblMili[[#This Row],[Unit 2]]/2,0),)</f>
        <v>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44406.666666666555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44406.708333333219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(Construction!AZ52+Construction!BX52)*(alch_plat+(Magic!AL51&gt;0)*alchemist_flame_bonus)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f>
        <v>0</v>
      </c>
      <c r="AE51" s="113">
        <f ca="1">OFFSET(TblConstr[[#This Row],[Tot OM]],1,0)*om_ore+IF(race="Dwarf",ROUNDDOWN(TblMili[[#This Row],[Unit 2]]/2,0),)</f>
        <v>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44406.708333333219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44406.749999999884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(Construction!AZ53+Construction!BX53)*(alch_plat+(Magic!AL52&gt;0)*alchemist_flame_bonus)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f>
        <v>0</v>
      </c>
      <c r="AE52" s="113">
        <f ca="1">OFFSET(TblConstr[[#This Row],[Tot OM]],1,0)*om_ore+IF(race="Dwarf",ROUNDDOWN(TblMili[[#This Row],[Unit 2]]/2,0),)</f>
        <v>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44406.749999999884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44406.791666666548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(Construction!AZ54+Construction!BX54)*(alch_plat+(Magic!AL53&gt;0)*alchemist_flame_bonus)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f>
        <v>0</v>
      </c>
      <c r="AE53" s="113">
        <f ca="1">OFFSET(TblConstr[[#This Row],[Tot OM]],1,0)*om_ore+IF(race="Dwarf",ROUNDDOWN(TblMili[[#This Row],[Unit 2]]/2,0),)</f>
        <v>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44406.791666666548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44406.833333333212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(Construction!AZ55+Construction!BX55)*(alch_plat+(Magic!AL54&gt;0)*alchemist_flame_bonus)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f>
        <v>0</v>
      </c>
      <c r="AE54" s="113">
        <f ca="1">OFFSET(TblConstr[[#This Row],[Tot OM]],1,0)*om_ore+IF(race="Dwarf",ROUNDDOWN(TblMili[[#This Row],[Unit 2]]/2,0),)</f>
        <v>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44406.833333333212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44406.874999999876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(Construction!AZ56+Construction!BX56)*(alch_plat+(Magic!AL55&gt;0)*alchemist_flame_bonus)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f>
        <v>0</v>
      </c>
      <c r="AE55" s="113">
        <f ca="1">OFFSET(TblConstr[[#This Row],[Tot OM]],1,0)*om_ore+IF(race="Dwarf",ROUNDDOWN(TblMili[[#This Row],[Unit 2]]/2,0),)</f>
        <v>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44406.874999999876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44406.916666666541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(Construction!AZ57+Construction!BX57)*(alch_plat+(Magic!AL56&gt;0)*alchemist_flame_bonus)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f>
        <v>0</v>
      </c>
      <c r="AE56" s="113">
        <f ca="1">OFFSET(TblConstr[[#This Row],[Tot OM]],1,0)*om_ore+IF(race="Dwarf",ROUNDDOWN(TblMili[[#This Row],[Unit 2]]/2,0),)</f>
        <v>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44406.916666666541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44406.958333333205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(Construction!AZ58+Construction!BX58)*(alch_plat+(Magic!AL57&gt;0)*alchemist_flame_bonus)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f>
        <v>0</v>
      </c>
      <c r="AE57" s="113">
        <f ca="1">OFFSET(TblConstr[[#This Row],[Tot OM]],1,0)*om_ore+IF(race="Dwarf",ROUNDDOWN(TblMili[[#This Row],[Unit 2]]/2,0),)</f>
        <v>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44406.958333333205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44406.999999999869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(Construction!AZ59+Construction!BX59)*(alch_plat+(Magic!AL58&gt;0)*alchemist_flame_bonus)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f>
        <v>0</v>
      </c>
      <c r="AE58" s="113">
        <f ca="1">OFFSET(TblConstr[[#This Row],[Tot OM]],1,0)*om_ore+IF(race="Dwarf",ROUNDDOWN(TblMili[[#This Row],[Unit 2]]/2,0),)</f>
        <v>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44406.999999999869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44407.041666666533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(Construction!AZ60+Construction!BX60)*(alch_plat+(Magic!AL59&gt;0)*alchemist_flame_bonus)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f>
        <v>0</v>
      </c>
      <c r="AE59" s="113">
        <f ca="1">OFFSET(TblConstr[[#This Row],[Tot OM]],1,0)*om_ore+IF(race="Dwarf",ROUNDDOWN(TblMili[[#This Row],[Unit 2]]/2,0),)</f>
        <v>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44407.041666666533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44407.083333333198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(Construction!AZ61+Construction!BX61)*(alch_plat+(Magic!AL60&gt;0)*alchemist_flame_bonus)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f>
        <v>0</v>
      </c>
      <c r="AE60" s="113">
        <f ca="1">OFFSET(TblConstr[[#This Row],[Tot OM]],1,0)*om_ore+IF(race="Dwarf",ROUNDDOWN(TblMili[[#This Row],[Unit 2]]/2,0),)</f>
        <v>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44407.083333333198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44407.124999999862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(Construction!AZ62+Construction!BX62)*(alch_plat+(Magic!AL61&gt;0)*alchemist_flame_bonus)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f>
        <v>0</v>
      </c>
      <c r="AE61" s="113">
        <f ca="1">OFFSET(TblConstr[[#This Row],[Tot OM]],1,0)*om_ore+IF(race="Dwarf",ROUNDDOWN(TblMili[[#This Row],[Unit 2]]/2,0),)</f>
        <v>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44407.124999999862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44407.166666666526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(Construction!AZ63+Construction!BX63)*(alch_plat+(Magic!AL62&gt;0)*alchemist_flame_bonus)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f>
        <v>0</v>
      </c>
      <c r="AE62" s="113">
        <f ca="1">OFFSET(TblConstr[[#This Row],[Tot OM]],1,0)*om_ore+IF(race="Dwarf",ROUNDDOWN(TblMili[[#This Row],[Unit 2]]/2,0),)</f>
        <v>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44407.166666666526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44407.20833333319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(Construction!AZ64+Construction!BX64)*(alch_plat+(Magic!AL63&gt;0)*alchemist_flame_bonus)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f>
        <v>0</v>
      </c>
      <c r="AE63" s="113">
        <f ca="1">OFFSET(TblConstr[[#This Row],[Tot OM]],1,0)*om_ore+IF(race="Dwarf",ROUNDDOWN(TblMili[[#This Row],[Unit 2]]/2,0),)</f>
        <v>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44407.20833333319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44407.249999999854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(Construction!AZ65+Construction!BX65)*(alch_plat+(Magic!AL64&gt;0)*alchemist_flame_bonus)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f>
        <v>0</v>
      </c>
      <c r="AE64" s="113">
        <f ca="1">OFFSET(TblConstr[[#This Row],[Tot OM]],1,0)*om_ore+IF(race="Dwarf",ROUNDDOWN(TblMili[[#This Row],[Unit 2]]/2,0),)</f>
        <v>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44407.249999999854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44407.291666666519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(Construction!AZ66+Construction!BX66)*(alch_plat+(Magic!AL65&gt;0)*alchemist_flame_bonus)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f>
        <v>0</v>
      </c>
      <c r="AE65" s="113">
        <f ca="1">OFFSET(TblConstr[[#This Row],[Tot OM]],1,0)*om_ore+IF(race="Dwarf",ROUNDDOWN(TblMili[[#This Row],[Unit 2]]/2,0),)</f>
        <v>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44407.291666666519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44407.333333333183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(Construction!AZ67+Construction!BX67)*(alch_plat+(Magic!AL66&gt;0)*alchemist_flame_bonus)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f>
        <v>0</v>
      </c>
      <c r="AE66" s="113">
        <f ca="1">OFFSET(TblConstr[[#This Row],[Tot OM]],1,0)*om_ore+IF(race="Dwarf",ROUNDDOWN(TblMili[[#This Row],[Unit 2]]/2,0),)</f>
        <v>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44407.333333333183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44407.374999999847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(Construction!AZ68+Construction!BX68)*(alch_plat+(Magic!AL67&gt;0)*alchemist_flame_bonus)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f>
        <v>0</v>
      </c>
      <c r="AE67" s="113">
        <f ca="1">OFFSET(TblConstr[[#This Row],[Tot OM]],1,0)*om_ore+IF(race="Dwarf",ROUNDDOWN(TblMili[[#This Row],[Unit 2]]/2,0),)</f>
        <v>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44407.374999999847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44407.416666666511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(Construction!AZ69+Construction!BX69)*(alch_plat+(Magic!AL68&gt;0)*alchemist_flame_bonus)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f>
        <v>0</v>
      </c>
      <c r="AE68" s="113">
        <f ca="1">OFFSET(TblConstr[[#This Row],[Tot OM]],1,0)*om_ore+IF(race="Dwarf",ROUNDDOWN(TblMili[[#This Row],[Unit 2]]/2,0),)</f>
        <v>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44407.416666666511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44407.458333333176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(Construction!AZ70+Construction!BX70)*(alch_plat+(Magic!AL69&gt;0)*alchemist_flame_bonus)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f>
        <v>0</v>
      </c>
      <c r="AE69" s="113">
        <f ca="1">OFFSET(TblConstr[[#This Row],[Tot OM]],1,0)*om_ore+IF(race="Dwarf",ROUNDDOWN(TblMili[[#This Row],[Unit 2]]/2,0),)</f>
        <v>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44407.458333333176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44407.49999999984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(Construction!AZ71+Construction!BX71)*(alch_plat+(Magic!AL70&gt;0)*alchemist_flame_bonus)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f>
        <v>0</v>
      </c>
      <c r="AE70" s="113">
        <f ca="1">OFFSET(TblConstr[[#This Row],[Tot OM]],1,0)*om_ore+IF(race="Dwarf",ROUNDDOWN(TblMili[[#This Row],[Unit 2]]/2,0),)</f>
        <v>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44407.49999999984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44407.541666666504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(Construction!AZ72+Construction!BX72)*(alch_plat+(Magic!AL71&gt;0)*alchemist_flame_bonus)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f>
        <v>0</v>
      </c>
      <c r="AE71" s="113">
        <f ca="1">OFFSET(TblConstr[[#This Row],[Tot OM]],1,0)*om_ore+IF(race="Dwarf",ROUNDDOWN(TblMili[[#This Row],[Unit 2]]/2,0),)</f>
        <v>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44407.541666666504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44407.583333333168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(Construction!AZ73+Construction!BX73)*(alch_plat+(Magic!AL72&gt;0)*alchemist_flame_bonus)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f>
        <v>0</v>
      </c>
      <c r="AE72" s="113">
        <f ca="1">OFFSET(TblConstr[[#This Row],[Tot OM]],1,0)*om_ore+IF(race="Dwarf",ROUNDDOWN(TblMili[[#This Row],[Unit 2]]/2,0),)</f>
        <v>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44407.583333333168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44407.624999999833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(Construction!AZ74+Construction!BX74)*(alch_plat+(Magic!AL73&gt;0)*alchemist_flame_bonus)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f>
        <v>0</v>
      </c>
      <c r="AE73" s="113">
        <f ca="1">OFFSET(TblConstr[[#This Row],[Tot OM]],1,0)*om_ore+IF(race="Dwarf",ROUNDDOWN(TblMili[[#This Row],[Unit 2]]/2,0),)</f>
        <v>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44407.624999999833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44407.666666666497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(Construction!AZ75+Construction!BX75)*(alch_plat+(Magic!AL74&gt;0)*alchemist_flame_bonus)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f>
        <v>0</v>
      </c>
      <c r="AE74" s="113">
        <f ca="1">OFFSET(TblConstr[[#This Row],[Tot OM]],1,0)*om_ore+IF(race="Dwarf",ROUNDDOWN(TblMili[[#This Row],[Unit 2]]/2,0),)</f>
        <v>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44407.666666666497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44407.708333333161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(Construction!AZ76+Construction!BX76)*(alch_plat+(Magic!AL75&gt;0)*alchemist_flame_bonus)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f>
        <v>0</v>
      </c>
      <c r="AE75" s="113">
        <f ca="1">OFFSET(TblConstr[[#This Row],[Tot OM]],1,0)*om_ore+IF(race="Dwarf",ROUNDDOWN(TblMili[[#This Row],[Unit 2]]/2,0),)</f>
        <v>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44407.708333333161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241</v>
      </c>
      <c r="B76" s="210">
        <f ca="1">TblImps[[#This Row],[Time]]</f>
        <v>44407.749999999825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(Construction!AZ77+Construction!BX77)*(alch_plat+(Magic!AL76&gt;0)*alchemist_flame_bonus)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f>
        <v>0</v>
      </c>
      <c r="AE76" s="188">
        <f ca="1">OFFSET(TblConstr[[#This Row],[Tot OM]],1,0)*om_ore+IF(race="Dwarf",ROUNDDOWN(TblMili[[#This Row],[Unit 2]]/2,0),)</f>
        <v>0</v>
      </c>
      <c r="AF76" s="188">
        <f ca="1">OFFSET(TblConstr[[#This Row],[Tot DM]],1,0)*dm_gems</f>
        <v>0</v>
      </c>
      <c r="AH76" s="214">
        <f ca="1">MIN(race_platinum_bonus + IF(Magic!AC76&gt;0,midas_bonus)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44407.749999999825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44407.79166666649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(Construction!AZ78+Construction!BX78)*(alch_plat+(Magic!AL77&gt;0)*alchemist_flame_bonus)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f>
        <v>0</v>
      </c>
      <c r="AE77" s="113">
        <f ca="1">OFFSET(TblConstr[[#This Row],[Tot OM]],1,0)*om_ore+IF(race="Dwarf",ROUNDDOWN(TblMili[[#This Row],[Unit 2]]/2,0),)</f>
        <v>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44407.79166666649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44407.833333333154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(Construction!AZ79+Construction!BX79)*(alch_plat+(Magic!AL78&gt;0)*alchemist_flame_bonus)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f>
        <v>0</v>
      </c>
      <c r="AE78" s="113">
        <f ca="1">OFFSET(TblConstr[[#This Row],[Tot OM]],1,0)*om_ore+IF(race="Dwarf",ROUNDDOWN(TblMili[[#This Row],[Unit 2]]/2,0),)</f>
        <v>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44407.833333333154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44407.874999999818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(Construction!AZ80+Construction!BX80)*(alch_plat+(Magic!AL79&gt;0)*alchemist_flame_bonus)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f>
        <v>0</v>
      </c>
      <c r="AE79" s="113">
        <f ca="1">OFFSET(TblConstr[[#This Row],[Tot OM]],1,0)*om_ore+IF(race="Dwarf",ROUNDDOWN(TblMili[[#This Row],[Unit 2]]/2,0),)</f>
        <v>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44407.874999999818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44407.916666666482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(Construction!AZ81+Construction!BX81)*(alch_plat+(Magic!AL80&gt;0)*alchemist_flame_bonus)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f>
        <v>0</v>
      </c>
      <c r="AE80" s="113">
        <f ca="1">OFFSET(TblConstr[[#This Row],[Tot OM]],1,0)*om_ore+IF(race="Dwarf",ROUNDDOWN(TblMili[[#This Row],[Unit 2]]/2,0),)</f>
        <v>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44407.916666666482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44407.958333333147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(Construction!AZ82+Construction!BX82)*(alch_plat+(Magic!AL81&gt;0)*alchemist_flame_bonus)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f>
        <v>0</v>
      </c>
      <c r="AE81" s="113">
        <f ca="1">OFFSET(TblConstr[[#This Row],[Tot OM]],1,0)*om_ore+IF(race="Dwarf",ROUNDDOWN(TblMili[[#This Row],[Unit 2]]/2,0),)</f>
        <v>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44407.958333333147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44407.999999999811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(Construction!AZ83+Construction!BX83)*(alch_plat+(Magic!AL82&gt;0)*alchemist_flame_bonus)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f>
        <v>0</v>
      </c>
      <c r="AE82" s="113">
        <f ca="1">OFFSET(TblConstr[[#This Row],[Tot OM]],1,0)*om_ore+IF(race="Dwarf",ROUNDDOWN(TblMili[[#This Row],[Unit 2]]/2,0),)</f>
        <v>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44407.999999999811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44408.041666666475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(Construction!AZ84+Construction!BX84)*(alch_plat+(Magic!AL83&gt;0)*alchemist_flame_bonus)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f>
        <v>0</v>
      </c>
      <c r="AE83" s="113">
        <f ca="1">OFFSET(TblConstr[[#This Row],[Tot OM]],1,0)*om_ore+IF(race="Dwarf",ROUNDDOWN(TblMili[[#This Row],[Unit 2]]/2,0),)</f>
        <v>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44408.041666666475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44408.083333333139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(Construction!AZ85+Construction!BX85)*(alch_plat+(Magic!AL84&gt;0)*alchemist_flame_bonus)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f>
        <v>0</v>
      </c>
      <c r="AE84" s="113">
        <f ca="1">OFFSET(TblConstr[[#This Row],[Tot OM]],1,0)*om_ore+IF(race="Dwarf",ROUNDDOWN(TblMili[[#This Row],[Unit 2]]/2,0),)</f>
        <v>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44408.083333333139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44408.124999999804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(Construction!AZ86+Construction!BX86)*(alch_plat+(Magic!AL85&gt;0)*alchemist_flame_bonus)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f>
        <v>0</v>
      </c>
      <c r="AE85" s="113">
        <f ca="1">OFFSET(TblConstr[[#This Row],[Tot OM]],1,0)*om_ore+IF(race="Dwarf",ROUNDDOWN(TblMili[[#This Row],[Unit 2]]/2,0),)</f>
        <v>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44408.124999999804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44408.166666666468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(Construction!AZ87+Construction!BX87)*(alch_plat+(Magic!AL86&gt;0)*alchemist_flame_bonus)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f>
        <v>0</v>
      </c>
      <c r="AE86" s="113">
        <f ca="1">OFFSET(TblConstr[[#This Row],[Tot OM]],1,0)*om_ore+IF(race="Dwarf",ROUNDDOWN(TblMili[[#This Row],[Unit 2]]/2,0),)</f>
        <v>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44408.166666666468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44408.208333333132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(Construction!AZ88+Construction!BX88)*(alch_plat+(Magic!AL87&gt;0)*alchemist_flame_bonus)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f>
        <v>0</v>
      </c>
      <c r="AE87" s="113">
        <f ca="1">OFFSET(TblConstr[[#This Row],[Tot OM]],1,0)*om_ore+IF(race="Dwarf",ROUNDDOWN(TblMili[[#This Row],[Unit 2]]/2,0),)</f>
        <v>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44408.208333333132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44408.249999999796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(Construction!AZ89+Construction!BX89)*(alch_plat+(Magic!AL88&gt;0)*alchemist_flame_bonus)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f>
        <v>0</v>
      </c>
      <c r="AE88" s="113">
        <f ca="1">OFFSET(TblConstr[[#This Row],[Tot OM]],1,0)*om_ore+IF(race="Dwarf",ROUNDDOWN(TblMili[[#This Row],[Unit 2]]/2,0),)</f>
        <v>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44408.249999999796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44408.291666666461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(Construction!AZ90+Construction!BX90)*(alch_plat+(Magic!AL89&gt;0)*alchemist_flame_bonus)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f>
        <v>0</v>
      </c>
      <c r="AE89" s="113">
        <f ca="1">OFFSET(TblConstr[[#This Row],[Tot OM]],1,0)*om_ore+IF(race="Dwarf",ROUNDDOWN(TblMili[[#This Row],[Unit 2]]/2,0),)</f>
        <v>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44408.291666666461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44408.333333333125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(Construction!AZ91+Construction!BX91)*(alch_plat+(Magic!AL90&gt;0)*alchemist_flame_bonus)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f>
        <v>0</v>
      </c>
      <c r="AE90" s="113">
        <f ca="1">OFFSET(TblConstr[[#This Row],[Tot OM]],1,0)*om_ore+IF(race="Dwarf",ROUNDDOWN(TblMili[[#This Row],[Unit 2]]/2,0),)</f>
        <v>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44408.333333333125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44408.374999999789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(Construction!AZ92+Construction!BX92)*(alch_plat+(Magic!AL91&gt;0)*alchemist_flame_bonus)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f>
        <v>0</v>
      </c>
      <c r="AE91" s="113">
        <f ca="1">OFFSET(TblConstr[[#This Row],[Tot OM]],1,0)*om_ore+IF(race="Dwarf",ROUNDDOWN(TblMili[[#This Row],[Unit 2]]/2,0),)</f>
        <v>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44408.374999999789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44408.416666666453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(Construction!AZ93+Construction!BX93)*(alch_plat+(Magic!AL92&gt;0)*alchemist_flame_bonus)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f>
        <v>0</v>
      </c>
      <c r="AE92" s="113">
        <f ca="1">OFFSET(TblConstr[[#This Row],[Tot OM]],1,0)*om_ore+IF(race="Dwarf",ROUNDDOWN(TblMili[[#This Row],[Unit 2]]/2,0),)</f>
        <v>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44408.416666666453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44408.458333333117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(Construction!AZ94+Construction!BX94)*(alch_plat+(Magic!AL93&gt;0)*alchemist_flame_bonus)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f>
        <v>0</v>
      </c>
      <c r="AE93" s="113">
        <f ca="1">OFFSET(TblConstr[[#This Row],[Tot OM]],1,0)*om_ore+IF(race="Dwarf",ROUNDDOWN(TblMili[[#This Row],[Unit 2]]/2,0),)</f>
        <v>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44408.458333333117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44408.499999999782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(Construction!AZ95+Construction!BX95)*(alch_plat+(Magic!AL94&gt;0)*alchemist_flame_bonus)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f>
        <v>0</v>
      </c>
      <c r="AE94" s="113">
        <f ca="1">OFFSET(TblConstr[[#This Row],[Tot OM]],1,0)*om_ore+IF(race="Dwarf",ROUNDDOWN(TblMili[[#This Row],[Unit 2]]/2,0),)</f>
        <v>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44408.499999999782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44408.541666666446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(Construction!AZ96+Construction!BX96)*(alch_plat+(Magic!AL95&gt;0)*alchemist_flame_bonus)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f>
        <v>0</v>
      </c>
      <c r="AE95" s="113">
        <f ca="1">OFFSET(TblConstr[[#This Row],[Tot OM]],1,0)*om_ore+IF(race="Dwarf",ROUNDDOWN(TblMili[[#This Row],[Unit 2]]/2,0),)</f>
        <v>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44408.541666666446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44408.58333333311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(Construction!AZ97+Construction!BX97)*(alch_plat+(Magic!AL96&gt;0)*alchemist_flame_bonus)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f>
        <v>0</v>
      </c>
      <c r="AE96" s="113">
        <f ca="1">OFFSET(TblConstr[[#This Row],[Tot OM]],1,0)*om_ore+IF(race="Dwarf",ROUNDDOWN(TblMili[[#This Row],[Unit 2]]/2,0),)</f>
        <v>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44408.58333333311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44408.624999999774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(Construction!AZ98+Construction!BX98)*(alch_plat+(Magic!AL97&gt;0)*alchemist_flame_bonus)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f>
        <v>0</v>
      </c>
      <c r="AE97" s="113">
        <f ca="1">OFFSET(TblConstr[[#This Row],[Tot OM]],1,0)*om_ore+IF(race="Dwarf",ROUNDDOWN(TblMili[[#This Row],[Unit 2]]/2,0),)</f>
        <v>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44408.624999999774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44408.666666666439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(Construction!AZ99+Construction!BX99)*(alch_plat+(Magic!AL98&gt;0)*alchemist_flame_bonus)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f>
        <v>0</v>
      </c>
      <c r="AE98" s="113">
        <f ca="1">OFFSET(TblConstr[[#This Row],[Tot OM]],1,0)*om_ore+IF(race="Dwarf",ROUNDDOWN(TblMili[[#This Row],[Unit 2]]/2,0),)</f>
        <v>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44408.666666666439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44408.708333333103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(Construction!AZ100+Construction!BX100)*(alch_plat+(Magic!AL99&gt;0)*alchemist_flame_bonus)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f>
        <v>0</v>
      </c>
      <c r="AE99" s="113">
        <f ca="1">OFFSET(TblConstr[[#This Row],[Tot OM]],1,0)*om_ore+IF(race="Dwarf",ROUNDDOWN(TblMili[[#This Row],[Unit 2]]/2,0),)</f>
        <v>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44408.708333333103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44408.749999999767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(Construction!AZ101+Construction!BX101)*(alch_plat+(Magic!AL100&gt;0)*alchemist_flame_bonus)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f>
        <v>0</v>
      </c>
      <c r="AE100" s="113">
        <f ca="1">OFFSET(TblConstr[[#This Row],[Tot OM]],1,0)*om_ore+IF(race="Dwarf",ROUNDDOWN(TblMili[[#This Row],[Unit 2]]/2,0),)</f>
        <v>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44408.749999999767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44408.791666666431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(Construction!AZ102+Construction!BX102)*(alch_plat+(Magic!AL101&gt;0)*alchemist_flame_bonus)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f>
        <v>0</v>
      </c>
      <c r="AE101" s="113">
        <f ca="1">OFFSET(TblConstr[[#This Row],[Tot OM]],1,0)*om_ore+IF(race="Dwarf",ROUNDDOWN(TblMili[[#This Row],[Unit 2]]/2,0),)</f>
        <v>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44408.791666666431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44408.833333333096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(Construction!AZ103+Construction!BX103)*(alch_plat+(Magic!AL102&gt;0)*alchemist_flame_bonus)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f>
        <v>0</v>
      </c>
      <c r="AE102" s="113">
        <f ca="1">OFFSET(TblConstr[[#This Row],[Tot OM]],1,0)*om_ore+IF(race="Dwarf",ROUNDDOWN(TblMili[[#This Row],[Unit 2]]/2,0),)</f>
        <v>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44408.833333333096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44408.87499999976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(Construction!AZ104+Construction!BX104)*(alch_plat+(Magic!AL103&gt;0)*alchemist_flame_bonus)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f>
        <v>0</v>
      </c>
      <c r="AE103" s="113">
        <f ca="1">OFFSET(TblConstr[[#This Row],[Tot OM]],1,0)*om_ore+IF(race="Dwarf",ROUNDDOWN(TblMili[[#This Row],[Unit 2]]/2,0),)</f>
        <v>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44408.87499999976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44408.916666666424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(Construction!AZ105+Construction!BX105)*(alch_plat+(Magic!AL104&gt;0)*alchemist_flame_bonus)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f>
        <v>0</v>
      </c>
      <c r="AE104" s="113">
        <f ca="1">OFFSET(TblConstr[[#This Row],[Tot OM]],1,0)*om_ore+IF(race="Dwarf",ROUNDDOWN(TblMili[[#This Row],[Unit 2]]/2,0),)</f>
        <v>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44408.916666666424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44408.958333333088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(Construction!AZ106+Construction!BX106)*(alch_plat+(Magic!AL105&gt;0)*alchemist_flame_bonus)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f>
        <v>0</v>
      </c>
      <c r="AE105" s="113">
        <f ca="1">OFFSET(TblConstr[[#This Row],[Tot OM]],1,0)*om_ore+IF(race="Dwarf",ROUNDDOWN(TblMili[[#This Row],[Unit 2]]/2,0),)</f>
        <v>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44408.958333333088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44408.999999999753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(Construction!AZ107+Construction!BX107)*(alch_plat+(Magic!AL106&gt;0)*alchemist_flame_bonus)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f>
        <v>0</v>
      </c>
      <c r="AE106" s="113">
        <f ca="1">OFFSET(TblConstr[[#This Row],[Tot OM]],1,0)*om_ore+IF(race="Dwarf",ROUNDDOWN(TblMili[[#This Row],[Unit 2]]/2,0),)</f>
        <v>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44408.999999999753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44409.041666666417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(Construction!AZ108+Construction!BX108)*(alch_plat+(Magic!AL107&gt;0)*alchemist_flame_bonus)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f>
        <v>0</v>
      </c>
      <c r="AE107" s="113">
        <f ca="1">OFFSET(TblConstr[[#This Row],[Tot OM]],1,0)*om_ore+IF(race="Dwarf",ROUNDDOWN(TblMili[[#This Row],[Unit 2]]/2,0),)</f>
        <v>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44409.041666666417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44409.083333333081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(Construction!AZ109+Construction!BX109)*(alch_plat+(Magic!AL108&gt;0)*alchemist_flame_bonus)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f>
        <v>0</v>
      </c>
      <c r="AE108" s="113">
        <f ca="1">OFFSET(TblConstr[[#This Row],[Tot OM]],1,0)*om_ore+IF(race="Dwarf",ROUNDDOWN(TblMili[[#This Row],[Unit 2]]/2,0),)</f>
        <v>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44409.083333333081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44409.124999999745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(Construction!AZ110+Construction!BX110)*(alch_plat+(Magic!AL109&gt;0)*alchemist_flame_bonus)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f>
        <v>0</v>
      </c>
      <c r="AE109" s="113">
        <f ca="1">OFFSET(TblConstr[[#This Row],[Tot OM]],1,0)*om_ore+IF(race="Dwarf",ROUNDDOWN(TblMili[[#This Row],[Unit 2]]/2,0),)</f>
        <v>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44409.124999999745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44409.16666666641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(Construction!AZ111+Construction!BX111)*(alch_plat+(Magic!AL110&gt;0)*alchemist_flame_bonus)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f>
        <v>0</v>
      </c>
      <c r="AE110" s="113">
        <f ca="1">OFFSET(TblConstr[[#This Row],[Tot OM]],1,0)*om_ore+IF(race="Dwarf",ROUNDDOWN(TblMili[[#This Row],[Unit 2]]/2,0),)</f>
        <v>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44409.16666666641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44409.208333333074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(Construction!AZ112+Construction!BX112)*(alch_plat+(Magic!AL111&gt;0)*alchemist_flame_bonus)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f>
        <v>0</v>
      </c>
      <c r="AE111" s="113">
        <f ca="1">OFFSET(TblConstr[[#This Row],[Tot OM]],1,0)*om_ore+IF(race="Dwarf",ROUNDDOWN(TblMili[[#This Row],[Unit 2]]/2,0),)</f>
        <v>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44409.208333333074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44409.249999999738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(Construction!AZ113+Construction!BX113)*(alch_plat+(Magic!AL112&gt;0)*alchemist_flame_bonus)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f>
        <v>0</v>
      </c>
      <c r="AE112" s="113">
        <f ca="1">OFFSET(TblConstr[[#This Row],[Tot OM]],1,0)*om_ore+IF(race="Dwarf",ROUNDDOWN(TblMili[[#This Row],[Unit 2]]/2,0),)</f>
        <v>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44409.249999999738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44409.291666666402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(Construction!AZ114+Construction!BX114)*(alch_plat+(Magic!AL113&gt;0)*alchemist_flame_bonus)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f>
        <v>0</v>
      </c>
      <c r="AE113" s="113">
        <f ca="1">OFFSET(TblConstr[[#This Row],[Tot OM]],1,0)*om_ore+IF(race="Dwarf",ROUNDDOWN(TblMili[[#This Row],[Unit 2]]/2,0),)</f>
        <v>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44409.291666666402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44409.333333333067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(Construction!AZ115+Construction!BX115)*(alch_plat+(Magic!AL114&gt;0)*alchemist_flame_bonus)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f>
        <v>0</v>
      </c>
      <c r="AE114" s="113">
        <f ca="1">OFFSET(TblConstr[[#This Row],[Tot OM]],1,0)*om_ore+IF(race="Dwarf",ROUNDDOWN(TblMili[[#This Row],[Unit 2]]/2,0),)</f>
        <v>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44409.333333333067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44409.374999999731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(Construction!AZ116+Construction!BX116)*(alch_plat+(Magic!AL115&gt;0)*alchemist_flame_bonus)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f>
        <v>0</v>
      </c>
      <c r="AE115" s="113">
        <f ca="1">OFFSET(TblConstr[[#This Row],[Tot OM]],1,0)*om_ore+IF(race="Dwarf",ROUNDDOWN(TblMili[[#This Row],[Unit 2]]/2,0),)</f>
        <v>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44409.374999999731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44409.416666666395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(Construction!AZ117+Construction!BX117)*(alch_plat+(Magic!AL116&gt;0)*alchemist_flame_bonus)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f>
        <v>0</v>
      </c>
      <c r="AE116" s="113">
        <f ca="1">OFFSET(TblConstr[[#This Row],[Tot OM]],1,0)*om_ore+IF(race="Dwarf",ROUNDDOWN(TblMili[[#This Row],[Unit 2]]/2,0),)</f>
        <v>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44409.416666666395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44409.458333333059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(Construction!AZ118+Construction!BX118)*(alch_plat+(Magic!AL117&gt;0)*alchemist_flame_bonus)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f>
        <v>0</v>
      </c>
      <c r="AE117" s="113">
        <f ca="1">OFFSET(TblConstr[[#This Row],[Tot OM]],1,0)*om_ore+IF(race="Dwarf",ROUNDDOWN(TblMili[[#This Row],[Unit 2]]/2,0),)</f>
        <v>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44409.458333333059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44409.499999999724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(Construction!AZ119+Construction!BX119)*(alch_plat+(Magic!AL118&gt;0)*alchemist_flame_bonus)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f>
        <v>0</v>
      </c>
      <c r="AE118" s="113">
        <f ca="1">OFFSET(TblConstr[[#This Row],[Tot OM]],1,0)*om_ore+IF(race="Dwarf",ROUNDDOWN(TblMili[[#This Row],[Unit 2]]/2,0),)</f>
        <v>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44409.499999999724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44409.541666666388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(Construction!AZ120+Construction!BX120)*(alch_plat+(Magic!AL119&gt;0)*alchemist_flame_bonus)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f>
        <v>0</v>
      </c>
      <c r="AE119" s="113">
        <f ca="1">OFFSET(TblConstr[[#This Row],[Tot OM]],1,0)*om_ore+IF(race="Dwarf",ROUNDDOWN(TblMili[[#This Row],[Unit 2]]/2,0),)</f>
        <v>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44409.541666666388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44409.583333333052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(Construction!AZ121+Construction!BX121)*(alch_plat+(Magic!AL120&gt;0)*alchemist_flame_bonus)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f>
        <v>0</v>
      </c>
      <c r="AE120" s="113">
        <f ca="1">OFFSET(TblConstr[[#This Row],[Tot OM]],1,0)*om_ore+IF(race="Dwarf",ROUNDDOWN(TblMili[[#This Row],[Unit 2]]/2,0),)</f>
        <v>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44409.583333333052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44409.624999999716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(Construction!AZ122+Construction!BX122)*(alch_plat+(Magic!AL121&gt;0)*alchemist_flame_bonus)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f>
        <v>0</v>
      </c>
      <c r="AE121" s="113">
        <f ca="1">OFFSET(TblConstr[[#This Row],[Tot OM]],1,0)*om_ore+IF(race="Dwarf",ROUNDDOWN(TblMili[[#This Row],[Unit 2]]/2,0),)</f>
        <v>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44409.624999999716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44409.66666666638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(Construction!AZ123+Construction!BX123)*(alch_plat+(Magic!AL122&gt;0)*alchemist_flame_bonus)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f>
        <v>0</v>
      </c>
      <c r="AE122" s="113">
        <f ca="1">OFFSET(TblConstr[[#This Row],[Tot OM]],1,0)*om_ore+IF(race="Dwarf",ROUNDDOWN(TblMili[[#This Row],[Unit 2]]/2,0),)</f>
        <v>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44409.66666666638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44409.708333333045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(Construction!AZ124+Construction!BX124)*(alch_plat+(Magic!AL123&gt;0)*alchemist_flame_bonus)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f>
        <v>0</v>
      </c>
      <c r="AE123" s="113">
        <f ca="1">OFFSET(TblConstr[[#This Row],[Tot OM]],1,0)*om_ore+IF(race="Dwarf",ROUNDDOWN(TblMili[[#This Row],[Unit 2]]/2,0),)</f>
        <v>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44409.708333333045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44409.749999999709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(Construction!AZ125+Construction!BX125)*(alch_plat+(Magic!AL124&gt;0)*alchemist_flame_bonus)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f>
        <v>0</v>
      </c>
      <c r="AE124" s="113">
        <f ca="1">OFFSET(TblConstr[[#This Row],[Tot OM]],1,0)*om_ore+IF(race="Dwarf",ROUNDDOWN(TblMili[[#This Row],[Unit 2]]/2,0),)</f>
        <v>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44409.749999999709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44409.791666666373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(Construction!AZ126+Construction!BX126)*(alch_plat+(Magic!AL125&gt;0)*alchemist_flame_bonus)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f>
        <v>0</v>
      </c>
      <c r="AE125" s="113">
        <f ca="1">OFFSET(TblConstr[[#This Row],[Tot OM]],1,0)*om_ore+IF(race="Dwarf",ROUNDDOWN(TblMili[[#This Row],[Unit 2]]/2,0),)</f>
        <v>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44409.791666666373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44409.833333333037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(Construction!AZ127+Construction!BX127)*(alch_plat+(Magic!AL126&gt;0)*alchemist_flame_bonus)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f>
        <v>0</v>
      </c>
      <c r="AE126" s="113">
        <f ca="1">OFFSET(TblConstr[[#This Row],[Tot OM]],1,0)*om_ore+IF(race="Dwarf",ROUNDDOWN(TblMili[[#This Row],[Unit 2]]/2,0),)</f>
        <v>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44409.833333333037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44409.874999999702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(Construction!AZ128+Construction!BX128)*(alch_plat+(Magic!AL127&gt;0)*alchemist_flame_bonus)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f>
        <v>0</v>
      </c>
      <c r="AE127" s="113">
        <f ca="1">OFFSET(TblConstr[[#This Row],[Tot OM]],1,0)*om_ore+IF(race="Dwarf",ROUNDDOWN(TblMili[[#This Row],[Unit 2]]/2,0),)</f>
        <v>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44409.874999999702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44409.916666666366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(Construction!AZ129+Construction!BX129)*(alch_plat+(Magic!AL128&gt;0)*alchemist_flame_bonus)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f>
        <v>0</v>
      </c>
      <c r="AE128" s="113">
        <f ca="1">OFFSET(TblConstr[[#This Row],[Tot OM]],1,0)*om_ore+IF(race="Dwarf",ROUNDDOWN(TblMili[[#This Row],[Unit 2]]/2,0),)</f>
        <v>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44409.916666666366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44409.95833333303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(Construction!AZ130+Construction!BX130)*(alch_plat+(Magic!AL129&gt;0)*alchemist_flame_bonus)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f>
        <v>0</v>
      </c>
      <c r="AE129" s="113">
        <f ca="1">OFFSET(TblConstr[[#This Row],[Tot OM]],1,0)*om_ore+IF(race="Dwarf",ROUNDDOWN(TblMili[[#This Row],[Unit 2]]/2,0),)</f>
        <v>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44409.95833333303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44409.999999999694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(Construction!AZ131+Construction!BX131)*(alch_plat+(Magic!AL130&gt;0)*alchemist_flame_bonus)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f>
        <v>0</v>
      </c>
      <c r="AE130" s="113">
        <f ca="1">OFFSET(TblConstr[[#This Row],[Tot OM]],1,0)*om_ore+IF(race="Dwarf",ROUNDDOWN(TblMili[[#This Row],[Unit 2]]/2,0),)</f>
        <v>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44409.999999999694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44410.041666666359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(Construction!AZ132+Construction!BX132)*(alch_plat+(Magic!AL131&gt;0)*alchemist_flame_bonus)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f>
        <v>0</v>
      </c>
      <c r="AE131" s="113">
        <f ca="1">OFFSET(TblConstr[[#This Row],[Tot OM]],1,0)*om_ore+IF(race="Dwarf",ROUNDDOWN(TblMili[[#This Row],[Unit 2]]/2,0),)</f>
        <v>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44410.041666666359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44410.083333333023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(Construction!AZ133+Construction!BX133)*(alch_plat+(Magic!AL132&gt;0)*alchemist_flame_bonus)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f>
        <v>0</v>
      </c>
      <c r="AE132" s="113">
        <f ca="1">OFFSET(TblConstr[[#This Row],[Tot OM]],1,0)*om_ore+IF(race="Dwarf",ROUNDDOWN(TblMili[[#This Row],[Unit 2]]/2,0),)</f>
        <v>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44410.083333333023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44410.124999999687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(Construction!AZ134+Construction!BX134)*(alch_plat+(Magic!AL133&gt;0)*alchemist_flame_bonus)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f>
        <v>0</v>
      </c>
      <c r="AE133" s="113">
        <f ca="1">OFFSET(TblConstr[[#This Row],[Tot OM]],1,0)*om_ore+IF(race="Dwarf",ROUNDDOWN(TblMili[[#This Row],[Unit 2]]/2,0),)</f>
        <v>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44410.124999999687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44410.166666666351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(Construction!AZ135+Construction!BX135)*(alch_plat+(Magic!AL134&gt;0)*alchemist_flame_bonus)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f>
        <v>0</v>
      </c>
      <c r="AE134" s="113">
        <f ca="1">OFFSET(TblConstr[[#This Row],[Tot OM]],1,0)*om_ore+IF(race="Dwarf",ROUNDDOWN(TblMili[[#This Row],[Unit 2]]/2,0),)</f>
        <v>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44410.166666666351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44410.208333333016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(Construction!AZ136+Construction!BX136)*(alch_plat+(Magic!AL135&gt;0)*alchemist_flame_bonus)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f>
        <v>0</v>
      </c>
      <c r="AE135" s="113">
        <f ca="1">OFFSET(TblConstr[[#This Row],[Tot OM]],1,0)*om_ore+IF(race="Dwarf",ROUNDDOWN(TblMili[[#This Row],[Unit 2]]/2,0),)</f>
        <v>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44410.208333333016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44410.24999999968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44410.24999999968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85" t="s">
        <v>327</v>
      </c>
      <c r="D1269" s="541"/>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2" priority="58" stopIfTrue="1">
      <formula>ROW()-2=#REF!</formula>
    </cfRule>
  </conditionalFormatting>
  <conditionalFormatting sqref="A1269:XFD1270">
    <cfRule type="expression" dxfId="791" priority="59" stopIfTrue="1">
      <formula>$C$1270&gt;144</formula>
    </cfRule>
  </conditionalFormatting>
  <conditionalFormatting sqref="E4:Q136">
    <cfRule type="expression" dxfId="790" priority="39" stopIfTrue="1">
      <formula>OR(ROW()-3=$C$1270,E4&lt;0)</formula>
    </cfRule>
  </conditionalFormatting>
  <conditionalFormatting sqref="BH4:BH136">
    <cfRule type="cellIs" dxfId="789" priority="61" stopIfTrue="1" operator="equal">
      <formula>"Nope"</formula>
    </cfRule>
  </conditionalFormatting>
  <conditionalFormatting sqref="A4:BM136">
    <cfRule type="expression" dxfId="788" priority="1" stopIfTrue="1">
      <formula>ROW()-3=$C$1270</formula>
    </cfRule>
    <cfRule type="expression" dxfId="787" priority="56">
      <formula>$A4="OOP"</formula>
    </cfRule>
    <cfRule type="expression" dxfId="786" priority="57">
      <formula>ROUND(($A4-1)/12,0)=INT($A4-1)/12</formula>
    </cfRule>
  </conditionalFormatting>
  <conditionalFormatting sqref="A1:XFD3">
    <cfRule type="expression" dxfId="785"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0" t="s">
        <v>56</v>
      </c>
      <c r="P1" s="590"/>
      <c r="Q1" s="551"/>
      <c r="R1" s="134"/>
      <c r="S1" s="134"/>
      <c r="T1" s="134"/>
      <c r="U1" s="134"/>
      <c r="V1" s="134"/>
      <c r="W1" s="134"/>
      <c r="X1" s="134"/>
      <c r="Y1" s="134"/>
      <c r="Z1" s="134"/>
      <c r="AA1" s="134"/>
      <c r="AB1" s="134"/>
      <c r="AC1" s="134"/>
      <c r="AD1" s="134"/>
      <c r="AE1" s="134"/>
      <c r="AF1" s="134"/>
      <c r="AG1" s="134"/>
      <c r="AH1" s="134"/>
      <c r="AI1" s="226" t="s">
        <v>530</v>
      </c>
      <c r="AJ1" s="226" t="s">
        <v>533</v>
      </c>
      <c r="AK1" s="590" t="s">
        <v>77</v>
      </c>
      <c r="AL1" s="590"/>
      <c r="AM1" s="589" t="s">
        <v>531</v>
      </c>
      <c r="AN1" s="589"/>
      <c r="AO1" s="589" t="s">
        <v>532</v>
      </c>
      <c r="AP1" s="589"/>
      <c r="AQ1" s="589" t="s">
        <v>529</v>
      </c>
      <c r="AR1" s="589"/>
      <c r="AS1" s="134"/>
      <c r="AT1" s="134"/>
      <c r="AU1" s="134"/>
      <c r="AV1" s="134" t="s">
        <v>528</v>
      </c>
      <c r="AW1" s="134"/>
      <c r="AX1" s="90"/>
      <c r="AY1" s="589" t="s">
        <v>53</v>
      </c>
      <c r="AZ1" s="589"/>
      <c r="BA1" s="589"/>
      <c r="BB1" s="225"/>
      <c r="BC1" s="225"/>
      <c r="BD1" s="225"/>
      <c r="BE1" s="225"/>
      <c r="BF1" s="225"/>
      <c r="BG1" s="225"/>
      <c r="BH1" s="225"/>
      <c r="BI1" s="225"/>
      <c r="BJ1" s="225"/>
      <c r="BK1" s="225"/>
      <c r="BL1" s="225"/>
      <c r="BM1" s="225"/>
      <c r="BN1" s="225"/>
      <c r="BO1" s="225"/>
      <c r="BP1" s="225"/>
      <c r="BQ1" s="225"/>
      <c r="BR1" s="134"/>
      <c r="BS1" s="134"/>
      <c r="BT1" s="134"/>
      <c r="BU1" s="134"/>
      <c r="BV1" s="134"/>
      <c r="BW1" s="590" t="s">
        <v>84</v>
      </c>
      <c r="BX1" s="590"/>
      <c r="BY1" s="134"/>
      <c r="BZ1" s="134"/>
      <c r="CA1" s="134"/>
      <c r="CB1" s="134"/>
      <c r="CC1" s="134"/>
      <c r="CD1" s="134"/>
      <c r="CE1" s="134"/>
      <c r="CF1" s="134"/>
      <c r="CG1" s="134"/>
      <c r="CH1" s="134"/>
      <c r="CI1" s="134"/>
      <c r="CJ1" s="134"/>
      <c r="CK1" s="134"/>
      <c r="CL1" s="134"/>
      <c r="CM1" s="134"/>
      <c r="CN1" s="134"/>
      <c r="CO1" s="134"/>
      <c r="CP1" s="134"/>
      <c r="CQ1" s="589" t="s">
        <v>18</v>
      </c>
      <c r="CR1" s="589"/>
      <c r="CS1" s="225"/>
      <c r="CT1" s="225"/>
      <c r="CU1" s="225"/>
      <c r="CV1" s="225"/>
      <c r="CW1" s="225"/>
      <c r="CX1" s="134"/>
      <c r="CY1" s="134"/>
      <c r="CZ1" s="590" t="s">
        <v>306</v>
      </c>
      <c r="DA1" s="590"/>
      <c r="DB1" s="590"/>
      <c r="DC1" s="590"/>
      <c r="DD1" s="590"/>
      <c r="DE1" s="134"/>
      <c r="DF1" s="134"/>
      <c r="DG1" s="590" t="s">
        <v>269</v>
      </c>
      <c r="DH1" s="590"/>
      <c r="DI1" s="134" t="s">
        <v>548</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1039</v>
      </c>
      <c r="E3" s="176" t="s">
        <v>801</v>
      </c>
      <c r="F3" s="176" t="s">
        <v>1</v>
      </c>
      <c r="G3" s="221" t="s">
        <v>255</v>
      </c>
      <c r="H3" s="176" t="s">
        <v>58</v>
      </c>
      <c r="I3" s="176" t="s">
        <v>257</v>
      </c>
      <c r="J3" s="176" t="s">
        <v>256</v>
      </c>
      <c r="K3" s="176" t="s">
        <v>60</v>
      </c>
      <c r="L3" s="176" t="s">
        <v>254</v>
      </c>
      <c r="M3" s="176" t="s">
        <v>62</v>
      </c>
      <c r="N3" s="176" t="s">
        <v>1085</v>
      </c>
      <c r="O3" s="222" t="s">
        <v>72</v>
      </c>
      <c r="P3" s="222" t="s">
        <v>71</v>
      </c>
      <c r="Q3" s="222" t="s">
        <v>70</v>
      </c>
      <c r="R3" s="222" t="s">
        <v>69</v>
      </c>
      <c r="S3" s="222" t="s">
        <v>68</v>
      </c>
      <c r="T3" s="222" t="s">
        <v>63</v>
      </c>
      <c r="U3" s="222" t="s">
        <v>359</v>
      </c>
      <c r="V3" s="222" t="s">
        <v>64</v>
      </c>
      <c r="W3" s="222" t="s">
        <v>65</v>
      </c>
      <c r="X3" s="222" t="s">
        <v>66</v>
      </c>
      <c r="Y3" s="222" t="s">
        <v>67</v>
      </c>
      <c r="Z3" s="222" t="s">
        <v>361</v>
      </c>
      <c r="AA3" s="222" t="s">
        <v>364</v>
      </c>
      <c r="AB3" s="222" t="s">
        <v>74</v>
      </c>
      <c r="AC3" s="222" t="s">
        <v>362</v>
      </c>
      <c r="AD3" s="222" t="s">
        <v>308</v>
      </c>
      <c r="AE3" s="222" t="s">
        <v>75</v>
      </c>
      <c r="AF3" s="222" t="s">
        <v>382</v>
      </c>
      <c r="AG3" s="222" t="s">
        <v>76</v>
      </c>
      <c r="AH3" s="176" t="s">
        <v>374</v>
      </c>
      <c r="AI3" s="176" t="s">
        <v>847</v>
      </c>
      <c r="AJ3" s="176" t="s">
        <v>848</v>
      </c>
      <c r="AK3" s="176" t="s">
        <v>2</v>
      </c>
      <c r="AL3" s="176" t="s">
        <v>7</v>
      </c>
      <c r="AM3" s="176" t="s">
        <v>843</v>
      </c>
      <c r="AN3" s="176" t="s">
        <v>844</v>
      </c>
      <c r="AO3" s="176" t="s">
        <v>845</v>
      </c>
      <c r="AP3" s="176" t="s">
        <v>846</v>
      </c>
      <c r="AQ3" s="176" t="s">
        <v>1071</v>
      </c>
      <c r="AR3" s="176" t="s">
        <v>1072</v>
      </c>
      <c r="AS3" s="176" t="s">
        <v>534</v>
      </c>
      <c r="AT3" s="176" t="s">
        <v>535</v>
      </c>
      <c r="AU3" s="176" t="s">
        <v>802</v>
      </c>
      <c r="AV3" s="176" t="s">
        <v>849</v>
      </c>
      <c r="AW3" s="176" t="s">
        <v>850</v>
      </c>
      <c r="AX3" s="176" t="s">
        <v>803</v>
      </c>
      <c r="AY3" s="221" t="s">
        <v>851</v>
      </c>
      <c r="AZ3" s="176" t="s">
        <v>852</v>
      </c>
      <c r="BA3" s="176" t="s">
        <v>853</v>
      </c>
      <c r="BB3" s="176" t="s">
        <v>854</v>
      </c>
      <c r="BC3" s="176" t="s">
        <v>855</v>
      </c>
      <c r="BD3" s="176" t="s">
        <v>856</v>
      </c>
      <c r="BE3" s="176" t="s">
        <v>857</v>
      </c>
      <c r="BF3" s="176" t="s">
        <v>858</v>
      </c>
      <c r="BG3" s="176" t="s">
        <v>859</v>
      </c>
      <c r="BH3" s="176" t="s">
        <v>860</v>
      </c>
      <c r="BI3" s="176" t="s">
        <v>861</v>
      </c>
      <c r="BJ3" s="176" t="s">
        <v>862</v>
      </c>
      <c r="BK3" s="176" t="s">
        <v>863</v>
      </c>
      <c r="BL3" s="176" t="s">
        <v>864</v>
      </c>
      <c r="BM3" s="176" t="s">
        <v>865</v>
      </c>
      <c r="BN3" s="176" t="s">
        <v>866</v>
      </c>
      <c r="BO3" s="176" t="s">
        <v>867</v>
      </c>
      <c r="BP3" s="176" t="s">
        <v>868</v>
      </c>
      <c r="BQ3" s="223" t="s">
        <v>869</v>
      </c>
      <c r="BR3" s="176" t="s">
        <v>821</v>
      </c>
      <c r="BS3" s="176" t="s">
        <v>822</v>
      </c>
      <c r="BT3" s="176" t="s">
        <v>914</v>
      </c>
      <c r="BU3" s="176" t="s">
        <v>892</v>
      </c>
      <c r="BV3" s="176" t="s">
        <v>823</v>
      </c>
      <c r="BW3" s="176" t="s">
        <v>1054</v>
      </c>
      <c r="BX3" s="176" t="s">
        <v>935</v>
      </c>
      <c r="BY3" s="176" t="s">
        <v>936</v>
      </c>
      <c r="BZ3" s="176" t="s">
        <v>937</v>
      </c>
      <c r="CA3" s="176" t="s">
        <v>938</v>
      </c>
      <c r="CB3" s="176" t="s">
        <v>939</v>
      </c>
      <c r="CC3" s="176" t="s">
        <v>940</v>
      </c>
      <c r="CD3" s="176" t="s">
        <v>941</v>
      </c>
      <c r="CE3" s="176" t="s">
        <v>942</v>
      </c>
      <c r="CF3" s="176" t="s">
        <v>943</v>
      </c>
      <c r="CG3" s="176" t="s">
        <v>944</v>
      </c>
      <c r="CH3" s="176" t="s">
        <v>945</v>
      </c>
      <c r="CI3" s="176" t="s">
        <v>946</v>
      </c>
      <c r="CJ3" s="176" t="s">
        <v>947</v>
      </c>
      <c r="CK3" s="176" t="s">
        <v>948</v>
      </c>
      <c r="CL3" s="176" t="s">
        <v>949</v>
      </c>
      <c r="CM3" s="176" t="s">
        <v>950</v>
      </c>
      <c r="CN3" s="176" t="s">
        <v>951</v>
      </c>
      <c r="CO3" s="176" t="s">
        <v>952</v>
      </c>
      <c r="CP3" s="176" t="s">
        <v>898</v>
      </c>
      <c r="CQ3" s="176" t="s">
        <v>835</v>
      </c>
      <c r="CR3" s="176" t="s">
        <v>836</v>
      </c>
      <c r="CS3" s="176" t="s">
        <v>837</v>
      </c>
      <c r="CT3" s="176" t="s">
        <v>838</v>
      </c>
      <c r="CU3" s="176" t="s">
        <v>839</v>
      </c>
      <c r="CV3" s="176" t="s">
        <v>840</v>
      </c>
      <c r="CW3" s="176" t="s">
        <v>841</v>
      </c>
      <c r="CX3" s="176" t="s">
        <v>269</v>
      </c>
      <c r="CY3" s="176" t="s">
        <v>899</v>
      </c>
      <c r="CZ3" s="176" t="s">
        <v>903</v>
      </c>
      <c r="DA3" s="176" t="s">
        <v>904</v>
      </c>
      <c r="DB3" s="176" t="s">
        <v>905</v>
      </c>
      <c r="DC3" s="176" t="s">
        <v>906</v>
      </c>
      <c r="DD3" s="176" t="s">
        <v>907</v>
      </c>
      <c r="DE3" s="176" t="s">
        <v>908</v>
      </c>
      <c r="DF3" s="176" t="s">
        <v>909</v>
      </c>
      <c r="DG3" s="176" t="s">
        <v>842</v>
      </c>
      <c r="DH3" s="176" t="s">
        <v>307</v>
      </c>
      <c r="DI3" s="176" t="s">
        <v>549</v>
      </c>
      <c r="DJ3" s="176" t="s">
        <v>550</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44404.75</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 s="113">
        <f ca="1">ROUNDDOWN( MAX(1 - MIN(facs_constr_factor*TblConstr[[#This Row],[Facs DB]],facs_constr_max) + tech_1_11*TblTech[[#This Row],[1-11]] + tech_6_3_2*TblTech[[#This Row],[6-3]] + tech_5_2_3*TblTech[[#This Row],[5-2]], 1-global_constr_cap) * TblConstr[[#This Row],[RCPA Lumber]],0)</f>
        <v>88</v>
      </c>
      <c r="AQ4" s="49">
        <f ca="1">TblConstr[[#This Row],[build -db]]*TblConstr[[#This Row],[CPA Platinum -DB]] + TblConstr[[#This Row],[build db]]*TblConstr[[#This Row],[CPA Platinum DB]]</f>
        <v>0</v>
      </c>
      <c r="AR4" s="506">
        <f ca="1">SUM($O4:$AG4)*AN4</f>
        <v>0</v>
      </c>
      <c r="AS4" s="497">
        <f>MIN(SUM(Constants!A29:G29)+SUM(TblConstr[[#This Row],[Dest Hom]:[Dest Doc]]),SUM(TblConstr[[#This Row],[Hom]:[Doc]]))</f>
        <v>0</v>
      </c>
      <c r="AT4" s="506">
        <f>IF(TblExplore[[#This Row],[Land Bonus]]&lt;&gt;0,MAX(0, MIN(20, 20 + SUM(TblConstr[[#This Row],[Hom]:[Doc]]) - SUM(TblConstr[[#This Row],[Dest Hom]:[Dest Doc]]) - SUM(Constants!A$29:G$29)-20*TblExplore[[#This Row],[Land Bonus]])),0)</f>
        <v>0</v>
      </c>
      <c r="AU4" s="184"/>
      <c r="AV4" s="113">
        <f ca="1">ROUND((MAX(TblConstr[[#This Row],[Buildings]],250,0.75*TblConstr[[#This Row],[Land]])-250) * 1.53 + 850,0)</f>
        <v>850</v>
      </c>
      <c r="AW4" s="113">
        <f ca="1">ROUND((MAX(TblConstr[[#This Row],[Buildings]],250,0.75*TblConstr[[#This Row],[Land]])-250) * 0.35+87.5,0)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44404.75</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44404.791666666664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 s="113">
        <f ca="1">ROUNDDOWN( MAX(1 - MIN(facs_constr_factor*TblConstr[[#This Row],[Facs DB]],facs_constr_max) + tech_1_11*TblTech[[#This Row],[1-11]] + tech_6_3_2*TblTech[[#This Row],[6-3]] + tech_5_2_3*TblTech[[#This Row],[5-2]], 1-global_constr_cap) * TblConstr[[#This Row],[RCPA Lumber]],0)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ROUND((MAX(TblConstr[[#This Row],[Buildings]],250,0.75*TblConstr[[#This Row],[Land]])-250) * 1.53 + 850,0)</f>
        <v>850</v>
      </c>
      <c r="AW5" s="113">
        <f ca="1">ROUND((MAX(TblConstr[[#This Row],[Buildings]],250,0.75*TblConstr[[#This Row],[Land]])-250) * 0.35+87.5,0)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44404.791666666664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44404.833333333328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 s="113">
        <f ca="1">ROUNDDOWN( MAX(1 - MIN(facs_constr_factor*TblConstr[[#This Row],[Facs DB]],facs_constr_max) + tech_1_11*TblTech[[#This Row],[1-11]] + tech_6_3_2*TblTech[[#This Row],[6-3]] + tech_5_2_3*TblTech[[#This Row],[5-2]], 1-global_constr_cap) * TblConstr[[#This Row],[RCPA Lumber]],0)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ROUND((MAX(TblConstr[[#This Row],[Buildings]],250,0.75*TblConstr[[#This Row],[Land]])-250) * 1.53 + 850,0)</f>
        <v>850</v>
      </c>
      <c r="AW6" s="113">
        <f ca="1">ROUND((MAX(TblConstr[[#This Row],[Buildings]],250,0.75*TblConstr[[#This Row],[Land]])-250) * 0.35+87.5,0)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44404.833333333328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44404.874999999993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 s="113">
        <f ca="1">ROUNDDOWN( MAX(1 - MIN(facs_constr_factor*TblConstr[[#This Row],[Facs DB]],facs_constr_max) + tech_1_11*TblTech[[#This Row],[1-11]] + tech_6_3_2*TblTech[[#This Row],[6-3]] + tech_5_2_3*TblTech[[#This Row],[5-2]], 1-global_constr_cap) * TblConstr[[#This Row],[RCPA Lumber]],0)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ROUND((MAX(TblConstr[[#This Row],[Buildings]],250,0.75*TblConstr[[#This Row],[Land]])-250) * 1.53 + 850,0)</f>
        <v>850</v>
      </c>
      <c r="AW7" s="113">
        <f ca="1">ROUND((MAX(TblConstr[[#This Row],[Buildings]],250,0.75*TblConstr[[#This Row],[Land]])-250) * 0.35+87.5,0)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44404.874999999993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44404.916666666657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 s="113">
        <f ca="1">ROUNDDOWN( MAX(1 - MIN(facs_constr_factor*TblConstr[[#This Row],[Facs DB]],facs_constr_max) + tech_1_11*TblTech[[#This Row],[1-11]] + tech_6_3_2*TblTech[[#This Row],[6-3]] + tech_5_2_3*TblTech[[#This Row],[5-2]], 1-global_constr_cap) * TblConstr[[#This Row],[RCPA Lumber]],0)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ROUND((MAX(TblConstr[[#This Row],[Buildings]],250,0.75*TblConstr[[#This Row],[Land]])-250) * 1.53 + 850,0)</f>
        <v>850</v>
      </c>
      <c r="AW8" s="113">
        <f ca="1">ROUND((MAX(TblConstr[[#This Row],[Buildings]],250,0.75*TblConstr[[#This Row],[Land]])-250) * 0.35+87.5,0)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44404.916666666657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44404.958333333321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 s="113">
        <f ca="1">ROUNDDOWN( MAX(1 - MIN(facs_constr_factor*TblConstr[[#This Row],[Facs DB]],facs_constr_max) + tech_1_11*TblTech[[#This Row],[1-11]] + tech_6_3_2*TblTech[[#This Row],[6-3]] + tech_5_2_3*TblTech[[#This Row],[5-2]], 1-global_constr_cap) * TblConstr[[#This Row],[RCPA Lumber]],0)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ROUND((MAX(TblConstr[[#This Row],[Buildings]],250,0.75*TblConstr[[#This Row],[Land]])-250) * 1.53 + 850,0)</f>
        <v>850</v>
      </c>
      <c r="AW9" s="113">
        <f ca="1">ROUND((MAX(TblConstr[[#This Row],[Buildings]],250,0.75*TblConstr[[#This Row],[Land]])-250) * 0.35+87.5,0)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44404.958333333321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44404.999999999985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 s="113">
        <f ca="1">ROUNDDOWN( MAX(1 - MIN(facs_constr_factor*TblConstr[[#This Row],[Facs DB]],facs_constr_max) + tech_1_11*TblTech[[#This Row],[1-11]] + tech_6_3_2*TblTech[[#This Row],[6-3]] + tech_5_2_3*TblTech[[#This Row],[5-2]], 1-global_constr_cap) * TblConstr[[#This Row],[RCPA Lumber]],0)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ROUND((MAX(TblConstr[[#This Row],[Buildings]],250,0.75*TblConstr[[#This Row],[Land]])-250) * 1.53 + 850,0)</f>
        <v>850</v>
      </c>
      <c r="AW10" s="113">
        <f ca="1">ROUND((MAX(TblConstr[[#This Row],[Buildings]],250,0.75*TblConstr[[#This Row],[Land]])-250) * 0.35+87.5,0)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44404.999999999985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44405.04166666665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 s="113">
        <f ca="1">ROUNDDOWN( MAX(1 - MIN(facs_constr_factor*TblConstr[[#This Row],[Facs DB]],facs_constr_max) + tech_1_11*TblTech[[#This Row],[1-11]] + tech_6_3_2*TblTech[[#This Row],[6-3]] + tech_5_2_3*TblTech[[#This Row],[5-2]], 1-global_constr_cap) * TblConstr[[#This Row],[RCPA Lumber]],0)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ROUND((MAX(TblConstr[[#This Row],[Buildings]],250,0.75*TblConstr[[#This Row],[Land]])-250) * 1.53 + 850,0)</f>
        <v>850</v>
      </c>
      <c r="AW11" s="113">
        <f ca="1">ROUND((MAX(TblConstr[[#This Row],[Buildings]],250,0.75*TblConstr[[#This Row],[Land]])-250) * 0.35+87.5,0)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44405.04166666665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44405.083333333314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 s="113">
        <f ca="1">ROUNDDOWN( MAX(1 - MIN(facs_constr_factor*TblConstr[[#This Row],[Facs DB]],facs_constr_max) + tech_1_11*TblTech[[#This Row],[1-11]] + tech_6_3_2*TblTech[[#This Row],[6-3]] + tech_5_2_3*TblTech[[#This Row],[5-2]], 1-global_constr_cap) * TblConstr[[#This Row],[RCPA Lumber]],0)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ROUND((MAX(TblConstr[[#This Row],[Buildings]],250,0.75*TblConstr[[#This Row],[Land]])-250) * 1.53 + 850,0)</f>
        <v>850</v>
      </c>
      <c r="AW12" s="113">
        <f ca="1">ROUND((MAX(TblConstr[[#This Row],[Buildings]],250,0.75*TblConstr[[#This Row],[Land]])-250) * 0.35+87.5,0)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44405.083333333314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44405.124999999978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 s="113">
        <f ca="1">ROUNDDOWN( MAX(1 - MIN(facs_constr_factor*TblConstr[[#This Row],[Facs DB]],facs_constr_max) + tech_1_11*TblTech[[#This Row],[1-11]] + tech_6_3_2*TblTech[[#This Row],[6-3]] + tech_5_2_3*TblTech[[#This Row],[5-2]], 1-global_constr_cap) * TblConstr[[#This Row],[RCPA Lumber]],0)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ROUND((MAX(TblConstr[[#This Row],[Buildings]],250,0.75*TblConstr[[#This Row],[Land]])-250) * 1.53 + 850,0)</f>
        <v>850</v>
      </c>
      <c r="AW13" s="113">
        <f ca="1">ROUND((MAX(TblConstr[[#This Row],[Buildings]],250,0.75*TblConstr[[#This Row],[Land]])-250) * 0.35+87.5,0)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44405.124999999978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44405.166666666642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4" s="113">
        <f ca="1">ROUNDDOWN( MAX(1 - MIN(facs_constr_factor*TblConstr[[#This Row],[Facs DB]],facs_constr_max) + tech_1_11*TblTech[[#This Row],[1-11]] + tech_6_3_2*TblTech[[#This Row],[6-3]] + tech_5_2_3*TblTech[[#This Row],[5-2]], 1-global_constr_cap) * TblConstr[[#This Row],[RCPA Lumber]],0)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ROUND((MAX(TblConstr[[#This Row],[Buildings]],250,0.75*TblConstr[[#This Row],[Land]])-250) * 1.53 + 850,0)</f>
        <v>850</v>
      </c>
      <c r="AW14" s="113">
        <f ca="1">ROUND((MAX(TblConstr[[#This Row],[Buildings]],250,0.75*TblConstr[[#This Row],[Land]])-250) * 0.35+87.5,0)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44405.166666666642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44405.208333333307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5" s="113">
        <f ca="1">ROUNDDOWN( MAX(1 - MIN(facs_constr_factor*TblConstr[[#This Row],[Facs DB]],facs_constr_max) + tech_1_11*TblTech[[#This Row],[1-11]] + tech_6_3_2*TblTech[[#This Row],[6-3]] + tech_5_2_3*TblTech[[#This Row],[5-2]], 1-global_constr_cap) * TblConstr[[#This Row],[RCPA Lumber]],0)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ROUND((MAX(TblConstr[[#This Row],[Buildings]],250,0.75*TblConstr[[#This Row],[Land]])-250) * 1.53 + 850,0)</f>
        <v>850</v>
      </c>
      <c r="AW15" s="113">
        <f ca="1">ROUND((MAX(TblConstr[[#This Row],[Buildings]],250,0.75*TblConstr[[#This Row],[Land]])-250) * 0.35+87.5,0)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44405.208333333307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44405.249999999971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6" s="113">
        <f ca="1">ROUNDDOWN( MAX(1 - MIN(facs_constr_factor*TblConstr[[#This Row],[Facs DB]],facs_constr_max) + tech_1_11*TblTech[[#This Row],[1-11]] + tech_6_3_2*TblTech[[#This Row],[6-3]] + tech_5_2_3*TblTech[[#This Row],[5-2]], 1-global_constr_cap) * TblConstr[[#This Row],[RCPA Lumber]],0)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ROUND((MAX(TblConstr[[#This Row],[Buildings]],250,0.75*TblConstr[[#This Row],[Land]])-250) * 1.53 + 850,0)</f>
        <v>850</v>
      </c>
      <c r="AW16" s="113">
        <f ca="1">ROUND((MAX(TblConstr[[#This Row],[Buildings]],250,0.75*TblConstr[[#This Row],[Land]])-250) * 0.35+87.5,0)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44405.249999999971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44405.291666666635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7" s="113">
        <f ca="1">ROUNDDOWN( MAX(1 - MIN(facs_constr_factor*TblConstr[[#This Row],[Facs DB]],facs_constr_max) + tech_1_11*TblTech[[#This Row],[1-11]] + tech_6_3_2*TblTech[[#This Row],[6-3]] + tech_5_2_3*TblTech[[#This Row],[5-2]], 1-global_constr_cap) * TblConstr[[#This Row],[RCPA Lumber]],0)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ROUND((MAX(TblConstr[[#This Row],[Buildings]],250,0.75*TblConstr[[#This Row],[Land]])-250) * 1.53 + 850,0)</f>
        <v>850</v>
      </c>
      <c r="AW17" s="113">
        <f ca="1">ROUND((MAX(TblConstr[[#This Row],[Buildings]],250,0.75*TblConstr[[#This Row],[Land]])-250) * 0.35+87.5,0)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44405.291666666635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44405.333333333299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8" s="113">
        <f ca="1">ROUNDDOWN( MAX(1 - MIN(facs_constr_factor*TblConstr[[#This Row],[Facs DB]],facs_constr_max) + tech_1_11*TblTech[[#This Row],[1-11]] + tech_6_3_2*TblTech[[#This Row],[6-3]] + tech_5_2_3*TblTech[[#This Row],[5-2]], 1-global_constr_cap) * TblConstr[[#This Row],[RCPA Lumber]],0)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ROUND((MAX(TblConstr[[#This Row],[Buildings]],250,0.75*TblConstr[[#This Row],[Land]])-250) * 1.53 + 850,0)</f>
        <v>850</v>
      </c>
      <c r="AW18" s="113">
        <f ca="1">ROUND((MAX(TblConstr[[#This Row],[Buildings]],250,0.75*TblConstr[[#This Row],[Land]])-250) * 0.35+87.5,0)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44405.333333333299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44405.374999999964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9" s="113">
        <f ca="1">ROUNDDOWN( MAX(1 - MIN(facs_constr_factor*TblConstr[[#This Row],[Facs DB]],facs_constr_max) + tech_1_11*TblTech[[#This Row],[1-11]] + tech_6_3_2*TblTech[[#This Row],[6-3]] + tech_5_2_3*TblTech[[#This Row],[5-2]], 1-global_constr_cap) * TblConstr[[#This Row],[RCPA Lumber]],0)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ROUND((MAX(TblConstr[[#This Row],[Buildings]],250,0.75*TblConstr[[#This Row],[Land]])-250) * 1.53 + 850,0)</f>
        <v>850</v>
      </c>
      <c r="AW19" s="113">
        <f ca="1">ROUND((MAX(TblConstr[[#This Row],[Buildings]],250,0.75*TblConstr[[#This Row],[Land]])-250) * 0.35+87.5,0)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44405.374999999964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44405.416666666628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0" s="113">
        <f ca="1">ROUNDDOWN( MAX(1 - MIN(facs_constr_factor*TblConstr[[#This Row],[Facs DB]],facs_constr_max) + tech_1_11*TblTech[[#This Row],[1-11]] + tech_6_3_2*TblTech[[#This Row],[6-3]] + tech_5_2_3*TblTech[[#This Row],[5-2]], 1-global_constr_cap) * TblConstr[[#This Row],[RCPA Lumber]],0)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ROUND((MAX(TblConstr[[#This Row],[Buildings]],250,0.75*TblConstr[[#This Row],[Land]])-250) * 1.53 + 850,0)</f>
        <v>850</v>
      </c>
      <c r="AW20" s="113">
        <f ca="1">ROUND((MAX(TblConstr[[#This Row],[Buildings]],250,0.75*TblConstr[[#This Row],[Land]])-250) * 0.35+87.5,0)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44405.416666666628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44405.458333333292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1" s="113">
        <f ca="1">ROUNDDOWN( MAX(1 - MIN(facs_constr_factor*TblConstr[[#This Row],[Facs DB]],facs_constr_max) + tech_1_11*TblTech[[#This Row],[1-11]] + tech_6_3_2*TblTech[[#This Row],[6-3]] + tech_5_2_3*TblTech[[#This Row],[5-2]], 1-global_constr_cap) * TblConstr[[#This Row],[RCPA Lumber]],0)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ROUND((MAX(TblConstr[[#This Row],[Buildings]],250,0.75*TblConstr[[#This Row],[Land]])-250) * 1.53 + 850,0)</f>
        <v>850</v>
      </c>
      <c r="AW21" s="113">
        <f ca="1">ROUND((MAX(TblConstr[[#This Row],[Buildings]],250,0.75*TblConstr[[#This Row],[Land]])-250) * 0.35+87.5,0)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44405.458333333292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44405.499999999956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2" s="113">
        <f ca="1">ROUNDDOWN( MAX(1 - MIN(facs_constr_factor*TblConstr[[#This Row],[Facs DB]],facs_constr_max) + tech_1_11*TblTech[[#This Row],[1-11]] + tech_6_3_2*TblTech[[#This Row],[6-3]] + tech_5_2_3*TblTech[[#This Row],[5-2]], 1-global_constr_cap) * TblConstr[[#This Row],[RCPA Lumber]],0)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ROUND((MAX(TblConstr[[#This Row],[Buildings]],250,0.75*TblConstr[[#This Row],[Land]])-250) * 1.53 + 850,0)</f>
        <v>850</v>
      </c>
      <c r="AW22" s="113">
        <f ca="1">ROUND((MAX(TblConstr[[#This Row],[Buildings]],250,0.75*TblConstr[[#This Row],[Land]])-250) * 0.35+87.5,0)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44405.499999999956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44405.541666666621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3" s="113">
        <f ca="1">ROUNDDOWN( MAX(1 - MIN(facs_constr_factor*TblConstr[[#This Row],[Facs DB]],facs_constr_max) + tech_1_11*TblTech[[#This Row],[1-11]] + tech_6_3_2*TblTech[[#This Row],[6-3]] + tech_5_2_3*TblTech[[#This Row],[5-2]], 1-global_constr_cap) * TblConstr[[#This Row],[RCPA Lumber]],0)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ROUND((MAX(TblConstr[[#This Row],[Buildings]],250,0.75*TblConstr[[#This Row],[Land]])-250) * 1.53 + 850,0)</f>
        <v>850</v>
      </c>
      <c r="AW23" s="113">
        <f ca="1">ROUND((MAX(TblConstr[[#This Row],[Buildings]],250,0.75*TblConstr[[#This Row],[Land]])-250) * 0.35+87.5,0)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44405.541666666621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44405.583333333285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4" s="113">
        <f ca="1">ROUNDDOWN( MAX(1 - MIN(facs_constr_factor*TblConstr[[#This Row],[Facs DB]],facs_constr_max) + tech_1_11*TblTech[[#This Row],[1-11]] + tech_6_3_2*TblTech[[#This Row],[6-3]] + tech_5_2_3*TblTech[[#This Row],[5-2]], 1-global_constr_cap) * TblConstr[[#This Row],[RCPA Lumber]],0)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ROUND((MAX(TblConstr[[#This Row],[Buildings]],250,0.75*TblConstr[[#This Row],[Land]])-250) * 1.53 + 850,0)</f>
        <v>850</v>
      </c>
      <c r="AW24" s="113">
        <f ca="1">ROUND((MAX(TblConstr[[#This Row],[Buildings]],250,0.75*TblConstr[[#This Row],[Land]])-250) * 0.35+87.5,0)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44405.583333333285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44405.624999999949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5" s="113">
        <f ca="1">ROUNDDOWN( MAX(1 - MIN(facs_constr_factor*TblConstr[[#This Row],[Facs DB]],facs_constr_max) + tech_1_11*TblTech[[#This Row],[1-11]] + tech_6_3_2*TblTech[[#This Row],[6-3]] + tech_5_2_3*TblTech[[#This Row],[5-2]], 1-global_constr_cap) * TblConstr[[#This Row],[RCPA Lumber]],0)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ROUND((MAX(TblConstr[[#This Row],[Buildings]],250,0.75*TblConstr[[#This Row],[Land]])-250) * 1.53 + 850,0)</f>
        <v>850</v>
      </c>
      <c r="AW25" s="113">
        <f ca="1">ROUND((MAX(TblConstr[[#This Row],[Buildings]],250,0.75*TblConstr[[#This Row],[Land]])-250) * 0.35+87.5,0)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44405.624999999949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44405.666666666613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6" s="113">
        <f ca="1">ROUNDDOWN( MAX(1 - MIN(facs_constr_factor*TblConstr[[#This Row],[Facs DB]],facs_constr_max) + tech_1_11*TblTech[[#This Row],[1-11]] + tech_6_3_2*TblTech[[#This Row],[6-3]] + tech_5_2_3*TblTech[[#This Row],[5-2]], 1-global_constr_cap) * TblConstr[[#This Row],[RCPA Lumber]],0)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ROUND((MAX(TblConstr[[#This Row],[Buildings]],250,0.75*TblConstr[[#This Row],[Land]])-250) * 1.53 + 850,0)</f>
        <v>850</v>
      </c>
      <c r="AW26" s="113">
        <f ca="1">ROUND((MAX(TblConstr[[#This Row],[Buildings]],250,0.75*TblConstr[[#This Row],[Land]])-250) * 0.35+87.5,0)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44405.666666666613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44405.708333333278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7" s="113">
        <f ca="1">ROUNDDOWN( MAX(1 - MIN(facs_constr_factor*TblConstr[[#This Row],[Facs DB]],facs_constr_max) + tech_1_11*TblTech[[#This Row],[1-11]] + tech_6_3_2*TblTech[[#This Row],[6-3]] + tech_5_2_3*TblTech[[#This Row],[5-2]], 1-global_constr_cap) * TblConstr[[#This Row],[RCPA Lumber]],0)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ROUND((MAX(TblConstr[[#This Row],[Buildings]],250,0.75*TblConstr[[#This Row],[Land]])-250) * 1.53 + 850,0)</f>
        <v>850</v>
      </c>
      <c r="AW27" s="113">
        <f ca="1">ROUND((MAX(TblConstr[[#This Row],[Buildings]],250,0.75*TblConstr[[#This Row],[Land]])-250) * 0.35+87.5,0)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44405.708333333278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44405.749999999942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8" s="113">
        <f ca="1">ROUNDDOWN( MAX(1 - MIN(facs_constr_factor*TblConstr[[#This Row],[Facs DB]],facs_constr_max) + tech_1_11*TblTech[[#This Row],[1-11]] + tech_6_3_2*TblTech[[#This Row],[6-3]] + tech_5_2_3*TblTech[[#This Row],[5-2]], 1-global_constr_cap) * TblConstr[[#This Row],[RCPA Lumber]],0)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ROUND((MAX(TblConstr[[#This Row],[Buildings]],250,0.75*TblConstr[[#This Row],[Land]])-250) * 1.53 + 850,0)</f>
        <v>850</v>
      </c>
      <c r="AW28" s="113">
        <f ca="1">ROUND((MAX(TblConstr[[#This Row],[Buildings]],250,0.75*TblConstr[[#This Row],[Land]])-250) * 0.35+87.5,0)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44405.749999999942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44405.791666666606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9" s="113">
        <f ca="1">ROUNDDOWN( MAX(1 - MIN(facs_constr_factor*TblConstr[[#This Row],[Facs DB]],facs_constr_max) + tech_1_11*TblTech[[#This Row],[1-11]] + tech_6_3_2*TblTech[[#This Row],[6-3]] + tech_5_2_3*TblTech[[#This Row],[5-2]], 1-global_constr_cap) * TblConstr[[#This Row],[RCPA Lumber]],0)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ROUND((MAX(TblConstr[[#This Row],[Buildings]],250,0.75*TblConstr[[#This Row],[Land]])-250) * 1.53 + 850,0)</f>
        <v>850</v>
      </c>
      <c r="AW29" s="113">
        <f ca="1">ROUND((MAX(TblConstr[[#This Row],[Buildings]],250,0.75*TblConstr[[#This Row],[Land]])-250) * 0.35+87.5,0)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44405.791666666606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44405.83333333327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0" s="113">
        <f ca="1">ROUNDDOWN( MAX(1 - MIN(facs_constr_factor*TblConstr[[#This Row],[Facs DB]],facs_constr_max) + tech_1_11*TblTech[[#This Row],[1-11]] + tech_6_3_2*TblTech[[#This Row],[6-3]] + tech_5_2_3*TblTech[[#This Row],[5-2]], 1-global_constr_cap) * TblConstr[[#This Row],[RCPA Lumber]],0)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ROUND((MAX(TblConstr[[#This Row],[Buildings]],250,0.75*TblConstr[[#This Row],[Land]])-250) * 1.53 + 850,0)</f>
        <v>850</v>
      </c>
      <c r="AW30" s="113">
        <f ca="1">ROUND((MAX(TblConstr[[#This Row],[Buildings]],250,0.75*TblConstr[[#This Row],[Land]])-250) * 0.35+87.5,0)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44405.83333333327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44405.874999999935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1" s="113">
        <f ca="1">ROUNDDOWN( MAX(1 - MIN(facs_constr_factor*TblConstr[[#This Row],[Facs DB]],facs_constr_max) + tech_1_11*TblTech[[#This Row],[1-11]] + tech_6_3_2*TblTech[[#This Row],[6-3]] + tech_5_2_3*TblTech[[#This Row],[5-2]], 1-global_constr_cap) * TblConstr[[#This Row],[RCPA Lumber]],0)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ROUND((MAX(TblConstr[[#This Row],[Buildings]],250,0.75*TblConstr[[#This Row],[Land]])-250) * 1.53 + 850,0)</f>
        <v>850</v>
      </c>
      <c r="AW31" s="113">
        <f ca="1">ROUND((MAX(TblConstr[[#This Row],[Buildings]],250,0.75*TblConstr[[#This Row],[Land]])-250) * 0.35+87.5,0)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44405.874999999935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44405.916666666599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2" s="113">
        <f ca="1">ROUNDDOWN( MAX(1 - MIN(facs_constr_factor*TblConstr[[#This Row],[Facs DB]],facs_constr_max) + tech_1_11*TblTech[[#This Row],[1-11]] + tech_6_3_2*TblTech[[#This Row],[6-3]] + tech_5_2_3*TblTech[[#This Row],[5-2]], 1-global_constr_cap) * TblConstr[[#This Row],[RCPA Lumber]],0)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ROUND((MAX(TblConstr[[#This Row],[Buildings]],250,0.75*TblConstr[[#This Row],[Land]])-250) * 1.53 + 850,0)</f>
        <v>850</v>
      </c>
      <c r="AW32" s="113">
        <f ca="1">ROUND((MAX(TblConstr[[#This Row],[Buildings]],250,0.75*TblConstr[[#This Row],[Land]])-250) * 0.35+87.5,0)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44405.916666666599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44405.958333333263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3" s="113">
        <f ca="1">ROUNDDOWN( MAX(1 - MIN(facs_constr_factor*TblConstr[[#This Row],[Facs DB]],facs_constr_max) + tech_1_11*TblTech[[#This Row],[1-11]] + tech_6_3_2*TblTech[[#This Row],[6-3]] + tech_5_2_3*TblTech[[#This Row],[5-2]], 1-global_constr_cap) * TblConstr[[#This Row],[RCPA Lumber]],0)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ROUND((MAX(TblConstr[[#This Row],[Buildings]],250,0.75*TblConstr[[#This Row],[Land]])-250) * 1.53 + 850,0)</f>
        <v>850</v>
      </c>
      <c r="AW33" s="113">
        <f ca="1">ROUND((MAX(TblConstr[[#This Row],[Buildings]],250,0.75*TblConstr[[#This Row],[Land]])-250) * 0.35+87.5,0)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44405.958333333263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44405.999999999927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4" s="113">
        <f ca="1">ROUNDDOWN( MAX(1 - MIN(facs_constr_factor*TblConstr[[#This Row],[Facs DB]],facs_constr_max) + tech_1_11*TblTech[[#This Row],[1-11]] + tech_6_3_2*TblTech[[#This Row],[6-3]] + tech_5_2_3*TblTech[[#This Row],[5-2]], 1-global_constr_cap) * TblConstr[[#This Row],[RCPA Lumber]],0)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ROUND((MAX(TblConstr[[#This Row],[Buildings]],250,0.75*TblConstr[[#This Row],[Land]])-250) * 1.53 + 850,0)</f>
        <v>850</v>
      </c>
      <c r="AW34" s="113">
        <f ca="1">ROUND((MAX(TblConstr[[#This Row],[Buildings]],250,0.75*TblConstr[[#This Row],[Land]])-250) * 0.35+87.5,0)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44405.999999999927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44406.041666666591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5" s="113">
        <f ca="1">ROUNDDOWN( MAX(1 - MIN(facs_constr_factor*TblConstr[[#This Row],[Facs DB]],facs_constr_max) + tech_1_11*TblTech[[#This Row],[1-11]] + tech_6_3_2*TblTech[[#This Row],[6-3]] + tech_5_2_3*TblTech[[#This Row],[5-2]], 1-global_constr_cap) * TblConstr[[#This Row],[RCPA Lumber]],0)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ROUND((MAX(TblConstr[[#This Row],[Buildings]],250,0.75*TblConstr[[#This Row],[Land]])-250) * 1.53 + 850,0)</f>
        <v>850</v>
      </c>
      <c r="AW35" s="113">
        <f ca="1">ROUND((MAX(TblConstr[[#This Row],[Buildings]],250,0.75*TblConstr[[#This Row],[Land]])-250) * 0.35+87.5,0)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44406.041666666591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44406.083333333256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6" s="113">
        <f ca="1">ROUNDDOWN( MAX(1 - MIN(facs_constr_factor*TblConstr[[#This Row],[Facs DB]],facs_constr_max) + tech_1_11*TblTech[[#This Row],[1-11]] + tech_6_3_2*TblTech[[#This Row],[6-3]] + tech_5_2_3*TblTech[[#This Row],[5-2]], 1-global_constr_cap) * TblConstr[[#This Row],[RCPA Lumber]],0)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ROUND((MAX(TblConstr[[#This Row],[Buildings]],250,0.75*TblConstr[[#This Row],[Land]])-250) * 1.53 + 850,0)</f>
        <v>850</v>
      </c>
      <c r="AW36" s="113">
        <f ca="1">ROUND((MAX(TblConstr[[#This Row],[Buildings]],250,0.75*TblConstr[[#This Row],[Land]])-250) * 0.35+87.5,0)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44406.083333333256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44406.12499999992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7" s="113">
        <f ca="1">ROUNDDOWN( MAX(1 - MIN(facs_constr_factor*TblConstr[[#This Row],[Facs DB]],facs_constr_max) + tech_1_11*TblTech[[#This Row],[1-11]] + tech_6_3_2*TblTech[[#This Row],[6-3]] + tech_5_2_3*TblTech[[#This Row],[5-2]], 1-global_constr_cap) * TblConstr[[#This Row],[RCPA Lumber]],0)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ROUND((MAX(TblConstr[[#This Row],[Buildings]],250,0.75*TblConstr[[#This Row],[Land]])-250) * 1.53 + 850,0)</f>
        <v>850</v>
      </c>
      <c r="AW37" s="113">
        <f ca="1">ROUND((MAX(TblConstr[[#This Row],[Buildings]],250,0.75*TblConstr[[#This Row],[Land]])-250) * 0.35+87.5,0)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44406.12499999992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44406.166666666584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8" s="113">
        <f ca="1">ROUNDDOWN( MAX(1 - MIN(facs_constr_factor*TblConstr[[#This Row],[Facs DB]],facs_constr_max) + tech_1_11*TblTech[[#This Row],[1-11]] + tech_6_3_2*TblTech[[#This Row],[6-3]] + tech_5_2_3*TblTech[[#This Row],[5-2]], 1-global_constr_cap) * TblConstr[[#This Row],[RCPA Lumber]],0)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ROUND((MAX(TblConstr[[#This Row],[Buildings]],250,0.75*TblConstr[[#This Row],[Land]])-250) * 1.53 + 850,0)</f>
        <v>850</v>
      </c>
      <c r="AW38" s="113">
        <f ca="1">ROUND((MAX(TblConstr[[#This Row],[Buildings]],250,0.75*TblConstr[[#This Row],[Land]])-250) * 0.35+87.5,0)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44406.166666666584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44406.208333333248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9" s="113">
        <f ca="1">ROUNDDOWN( MAX(1 - MIN(facs_constr_factor*TblConstr[[#This Row],[Facs DB]],facs_constr_max) + tech_1_11*TblTech[[#This Row],[1-11]] + tech_6_3_2*TblTech[[#This Row],[6-3]] + tech_5_2_3*TblTech[[#This Row],[5-2]], 1-global_constr_cap) * TblConstr[[#This Row],[RCPA Lumber]],0)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ROUND((MAX(TblConstr[[#This Row],[Buildings]],250,0.75*TblConstr[[#This Row],[Land]])-250) * 1.53 + 850,0)</f>
        <v>850</v>
      </c>
      <c r="AW39" s="113">
        <f ca="1">ROUND((MAX(TblConstr[[#This Row],[Buildings]],250,0.75*TblConstr[[#This Row],[Land]])-250) * 0.35+87.5,0)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44406.208333333248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44406.249999999913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0" s="113">
        <f ca="1">ROUNDDOWN( MAX(1 - MIN(facs_constr_factor*TblConstr[[#This Row],[Facs DB]],facs_constr_max) + tech_1_11*TblTech[[#This Row],[1-11]] + tech_6_3_2*TblTech[[#This Row],[6-3]] + tech_5_2_3*TblTech[[#This Row],[5-2]], 1-global_constr_cap) * TblConstr[[#This Row],[RCPA Lumber]],0)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ROUND((MAX(TblConstr[[#This Row],[Buildings]],250,0.75*TblConstr[[#This Row],[Land]])-250) * 1.53 + 850,0)</f>
        <v>850</v>
      </c>
      <c r="AW40" s="113">
        <f ca="1">ROUND((MAX(TblConstr[[#This Row],[Buildings]],250,0.75*TblConstr[[#This Row],[Land]])-250) * 0.35+87.5,0)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44406.249999999913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44406.291666666577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1" s="113">
        <f ca="1">ROUNDDOWN( MAX(1 - MIN(facs_constr_factor*TblConstr[[#This Row],[Facs DB]],facs_constr_max) + tech_1_11*TblTech[[#This Row],[1-11]] + tech_6_3_2*TblTech[[#This Row],[6-3]] + tech_5_2_3*TblTech[[#This Row],[5-2]], 1-global_constr_cap) * TblConstr[[#This Row],[RCPA Lumber]],0)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ROUND((MAX(TblConstr[[#This Row],[Buildings]],250,0.75*TblConstr[[#This Row],[Land]])-250) * 1.53 + 850,0)</f>
        <v>850</v>
      </c>
      <c r="AW41" s="113">
        <f ca="1">ROUND((MAX(TblConstr[[#This Row],[Buildings]],250,0.75*TblConstr[[#This Row],[Land]])-250) * 0.35+87.5,0)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44406.291666666577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44406.333333333241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2" s="113">
        <f ca="1">ROUNDDOWN( MAX(1 - MIN(facs_constr_factor*TblConstr[[#This Row],[Facs DB]],facs_constr_max) + tech_1_11*TblTech[[#This Row],[1-11]] + tech_6_3_2*TblTech[[#This Row],[6-3]] + tech_5_2_3*TblTech[[#This Row],[5-2]], 1-global_constr_cap) * TblConstr[[#This Row],[RCPA Lumber]],0)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ROUND((MAX(TblConstr[[#This Row],[Buildings]],250,0.75*TblConstr[[#This Row],[Land]])-250) * 1.53 + 850,0)</f>
        <v>850</v>
      </c>
      <c r="AW42" s="113">
        <f ca="1">ROUND((MAX(TblConstr[[#This Row],[Buildings]],250,0.75*TblConstr[[#This Row],[Land]])-250) * 0.35+87.5,0)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44406.333333333241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44406.374999999905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3" s="113">
        <f ca="1">ROUNDDOWN( MAX(1 - MIN(facs_constr_factor*TblConstr[[#This Row],[Facs DB]],facs_constr_max) + tech_1_11*TblTech[[#This Row],[1-11]] + tech_6_3_2*TblTech[[#This Row],[6-3]] + tech_5_2_3*TblTech[[#This Row],[5-2]], 1-global_constr_cap) * TblConstr[[#This Row],[RCPA Lumber]],0)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ROUND((MAX(TblConstr[[#This Row],[Buildings]],250,0.75*TblConstr[[#This Row],[Land]])-250) * 1.53 + 850,0)</f>
        <v>850</v>
      </c>
      <c r="AW43" s="113">
        <f ca="1">ROUND((MAX(TblConstr[[#This Row],[Buildings]],250,0.75*TblConstr[[#This Row],[Land]])-250) * 0.35+87.5,0)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44406.374999999905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44406.41666666657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4" s="113">
        <f ca="1">ROUNDDOWN( MAX(1 - MIN(facs_constr_factor*TblConstr[[#This Row],[Facs DB]],facs_constr_max) + tech_1_11*TblTech[[#This Row],[1-11]] + tech_6_3_2*TblTech[[#This Row],[6-3]] + tech_5_2_3*TblTech[[#This Row],[5-2]], 1-global_constr_cap) * TblConstr[[#This Row],[RCPA Lumber]],0)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ROUND((MAX(TblConstr[[#This Row],[Buildings]],250,0.75*TblConstr[[#This Row],[Land]])-250) * 1.53 + 850,0)</f>
        <v>850</v>
      </c>
      <c r="AW44" s="113">
        <f ca="1">ROUND((MAX(TblConstr[[#This Row],[Buildings]],250,0.75*TblConstr[[#This Row],[Land]])-250) * 0.35+87.5,0)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44406.41666666657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44406.458333333234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5" s="113">
        <f ca="1">ROUNDDOWN( MAX(1 - MIN(facs_constr_factor*TblConstr[[#This Row],[Facs DB]],facs_constr_max) + tech_1_11*TblTech[[#This Row],[1-11]] + tech_6_3_2*TblTech[[#This Row],[6-3]] + tech_5_2_3*TblTech[[#This Row],[5-2]], 1-global_constr_cap) * TblConstr[[#This Row],[RCPA Lumber]],0)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ROUND((MAX(TblConstr[[#This Row],[Buildings]],250,0.75*TblConstr[[#This Row],[Land]])-250) * 1.53 + 850,0)</f>
        <v>850</v>
      </c>
      <c r="AW45" s="113">
        <f ca="1">ROUND((MAX(TblConstr[[#This Row],[Buildings]],250,0.75*TblConstr[[#This Row],[Land]])-250) * 0.35+87.5,0)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44406.458333333234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44406.499999999898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6" s="113">
        <f ca="1">ROUNDDOWN( MAX(1 - MIN(facs_constr_factor*TblConstr[[#This Row],[Facs DB]],facs_constr_max) + tech_1_11*TblTech[[#This Row],[1-11]] + tech_6_3_2*TblTech[[#This Row],[6-3]] + tech_5_2_3*TblTech[[#This Row],[5-2]], 1-global_constr_cap) * TblConstr[[#This Row],[RCPA Lumber]],0)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ROUND((MAX(TblConstr[[#This Row],[Buildings]],250,0.75*TblConstr[[#This Row],[Land]])-250) * 1.53 + 850,0)</f>
        <v>850</v>
      </c>
      <c r="AW46" s="113">
        <f ca="1">ROUND((MAX(TblConstr[[#This Row],[Buildings]],250,0.75*TblConstr[[#This Row],[Land]])-250) * 0.35+87.5,0)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44406.499999999898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44406.541666666562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7" s="113">
        <f ca="1">ROUNDDOWN( MAX(1 - MIN(facs_constr_factor*TblConstr[[#This Row],[Facs DB]],facs_constr_max) + tech_1_11*TblTech[[#This Row],[1-11]] + tech_6_3_2*TblTech[[#This Row],[6-3]] + tech_5_2_3*TblTech[[#This Row],[5-2]], 1-global_constr_cap) * TblConstr[[#This Row],[RCPA Lumber]],0)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ROUND((MAX(TblConstr[[#This Row],[Buildings]],250,0.75*TblConstr[[#This Row],[Land]])-250) * 1.53 + 850,0)</f>
        <v>850</v>
      </c>
      <c r="AW47" s="113">
        <f ca="1">ROUND((MAX(TblConstr[[#This Row],[Buildings]],250,0.75*TblConstr[[#This Row],[Land]])-250) * 0.35+87.5,0)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44406.541666666562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44406.583333333227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8" s="113">
        <f ca="1">ROUNDDOWN( MAX(1 - MIN(facs_constr_factor*TblConstr[[#This Row],[Facs DB]],facs_constr_max) + tech_1_11*TblTech[[#This Row],[1-11]] + tech_6_3_2*TblTech[[#This Row],[6-3]] + tech_5_2_3*TblTech[[#This Row],[5-2]], 1-global_constr_cap) * TblConstr[[#This Row],[RCPA Lumber]],0)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ROUND((MAX(TblConstr[[#This Row],[Buildings]],250,0.75*TblConstr[[#This Row],[Land]])-250) * 1.53 + 850,0)</f>
        <v>850</v>
      </c>
      <c r="AW48" s="113">
        <f ca="1">ROUND((MAX(TblConstr[[#This Row],[Buildings]],250,0.75*TblConstr[[#This Row],[Land]])-250) * 0.35+87.5,0)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44406.583333333227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44406.624999999891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9" s="113">
        <f ca="1">ROUNDDOWN( MAX(1 - MIN(facs_constr_factor*TblConstr[[#This Row],[Facs DB]],facs_constr_max) + tech_1_11*TblTech[[#This Row],[1-11]] + tech_6_3_2*TblTech[[#This Row],[6-3]] + tech_5_2_3*TblTech[[#This Row],[5-2]], 1-global_constr_cap) * TblConstr[[#This Row],[RCPA Lumber]],0)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ROUND((MAX(TblConstr[[#This Row],[Buildings]],250,0.75*TblConstr[[#This Row],[Land]])-250) * 1.53 + 850,0)</f>
        <v>850</v>
      </c>
      <c r="AW49" s="113">
        <f ca="1">ROUND((MAX(TblConstr[[#This Row],[Buildings]],250,0.75*TblConstr[[#This Row],[Land]])-250) * 0.35+87.5,0)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44406.624999999891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44406.666666666555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0" s="113">
        <f ca="1">ROUNDDOWN( MAX(1 - MIN(facs_constr_factor*TblConstr[[#This Row],[Facs DB]],facs_constr_max) + tech_1_11*TblTech[[#This Row],[1-11]] + tech_6_3_2*TblTech[[#This Row],[6-3]] + tech_5_2_3*TblTech[[#This Row],[5-2]], 1-global_constr_cap) * TblConstr[[#This Row],[RCPA Lumber]],0)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ROUND((MAX(TblConstr[[#This Row],[Buildings]],250,0.75*TblConstr[[#This Row],[Land]])-250) * 1.53 + 850,0)</f>
        <v>850</v>
      </c>
      <c r="AW50" s="113">
        <f ca="1">ROUND((MAX(TblConstr[[#This Row],[Buildings]],250,0.75*TblConstr[[#This Row],[Land]])-250) * 0.35+87.5,0)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44406.666666666555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44406.708333333219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1" s="113">
        <f ca="1">ROUNDDOWN( MAX(1 - MIN(facs_constr_factor*TblConstr[[#This Row],[Facs DB]],facs_constr_max) + tech_1_11*TblTech[[#This Row],[1-11]] + tech_6_3_2*TblTech[[#This Row],[6-3]] + tech_5_2_3*TblTech[[#This Row],[5-2]], 1-global_constr_cap) * TblConstr[[#This Row],[RCPA Lumber]],0)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ROUND((MAX(TblConstr[[#This Row],[Buildings]],250,0.75*TblConstr[[#This Row],[Land]])-250) * 1.53 + 850,0)</f>
        <v>850</v>
      </c>
      <c r="AW51" s="113">
        <f ca="1">ROUND((MAX(TblConstr[[#This Row],[Buildings]],250,0.75*TblConstr[[#This Row],[Land]])-250) * 0.35+87.5,0)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44406.708333333219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44406.749999999884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2" s="113">
        <f ca="1">ROUNDDOWN( MAX(1 - MIN(facs_constr_factor*TblConstr[[#This Row],[Facs DB]],facs_constr_max) + tech_1_11*TblTech[[#This Row],[1-11]] + tech_6_3_2*TblTech[[#This Row],[6-3]] + tech_5_2_3*TblTech[[#This Row],[5-2]], 1-global_constr_cap) * TblConstr[[#This Row],[RCPA Lumber]],0)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ROUND((MAX(TblConstr[[#This Row],[Buildings]],250,0.75*TblConstr[[#This Row],[Land]])-250) * 1.53 + 850,0)</f>
        <v>850</v>
      </c>
      <c r="AW52" s="113">
        <f ca="1">ROUND((MAX(TblConstr[[#This Row],[Buildings]],250,0.75*TblConstr[[#This Row],[Land]])-250) * 0.35+87.5,0)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44406.749999999884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44406.791666666548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3" s="113">
        <f ca="1">ROUNDDOWN( MAX(1 - MIN(facs_constr_factor*TblConstr[[#This Row],[Facs DB]],facs_constr_max) + tech_1_11*TblTech[[#This Row],[1-11]] + tech_6_3_2*TblTech[[#This Row],[6-3]] + tech_5_2_3*TblTech[[#This Row],[5-2]], 1-global_constr_cap) * TblConstr[[#This Row],[RCPA Lumber]],0)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ROUND((MAX(TblConstr[[#This Row],[Buildings]],250,0.75*TblConstr[[#This Row],[Land]])-250) * 1.53 + 850,0)</f>
        <v>850</v>
      </c>
      <c r="AW53" s="113">
        <f ca="1">ROUND((MAX(TblConstr[[#This Row],[Buildings]],250,0.75*TblConstr[[#This Row],[Land]])-250) * 0.35+87.5,0)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44406.791666666548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44406.833333333212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4" s="113">
        <f ca="1">ROUNDDOWN( MAX(1 - MIN(facs_constr_factor*TblConstr[[#This Row],[Facs DB]],facs_constr_max) + tech_1_11*TblTech[[#This Row],[1-11]] + tech_6_3_2*TblTech[[#This Row],[6-3]] + tech_5_2_3*TblTech[[#This Row],[5-2]], 1-global_constr_cap) * TblConstr[[#This Row],[RCPA Lumber]],0)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ROUND((MAX(TblConstr[[#This Row],[Buildings]],250,0.75*TblConstr[[#This Row],[Land]])-250) * 1.53 + 850,0)</f>
        <v>850</v>
      </c>
      <c r="AW54" s="113">
        <f ca="1">ROUND((MAX(TblConstr[[#This Row],[Buildings]],250,0.75*TblConstr[[#This Row],[Land]])-250) * 0.35+87.5,0)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44406.833333333212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44406.874999999876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5" s="113">
        <f ca="1">ROUNDDOWN( MAX(1 - MIN(facs_constr_factor*TblConstr[[#This Row],[Facs DB]],facs_constr_max) + tech_1_11*TblTech[[#This Row],[1-11]] + tech_6_3_2*TblTech[[#This Row],[6-3]] + tech_5_2_3*TblTech[[#This Row],[5-2]], 1-global_constr_cap) * TblConstr[[#This Row],[RCPA Lumber]],0)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ROUND((MAX(TblConstr[[#This Row],[Buildings]],250,0.75*TblConstr[[#This Row],[Land]])-250) * 1.53 + 850,0)</f>
        <v>850</v>
      </c>
      <c r="AW55" s="113">
        <f ca="1">ROUND((MAX(TblConstr[[#This Row],[Buildings]],250,0.75*TblConstr[[#This Row],[Land]])-250) * 0.35+87.5,0)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44406.874999999876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44406.916666666541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6" s="113">
        <f ca="1">ROUNDDOWN( MAX(1 - MIN(facs_constr_factor*TblConstr[[#This Row],[Facs DB]],facs_constr_max) + tech_1_11*TblTech[[#This Row],[1-11]] + tech_6_3_2*TblTech[[#This Row],[6-3]] + tech_5_2_3*TblTech[[#This Row],[5-2]], 1-global_constr_cap) * TblConstr[[#This Row],[RCPA Lumber]],0)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ROUND((MAX(TblConstr[[#This Row],[Buildings]],250,0.75*TblConstr[[#This Row],[Land]])-250) * 1.53 + 850,0)</f>
        <v>850</v>
      </c>
      <c r="AW56" s="113">
        <f ca="1">ROUND((MAX(TblConstr[[#This Row],[Buildings]],250,0.75*TblConstr[[#This Row],[Land]])-250) * 0.35+87.5,0)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44406.916666666541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44406.958333333205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7" s="113">
        <f ca="1">ROUNDDOWN( MAX(1 - MIN(facs_constr_factor*TblConstr[[#This Row],[Facs DB]],facs_constr_max) + tech_1_11*TblTech[[#This Row],[1-11]] + tech_6_3_2*TblTech[[#This Row],[6-3]] + tech_5_2_3*TblTech[[#This Row],[5-2]], 1-global_constr_cap) * TblConstr[[#This Row],[RCPA Lumber]],0)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ROUND((MAX(TblConstr[[#This Row],[Buildings]],250,0.75*TblConstr[[#This Row],[Land]])-250) * 1.53 + 850,0)</f>
        <v>850</v>
      </c>
      <c r="AW57" s="113">
        <f ca="1">ROUND((MAX(TblConstr[[#This Row],[Buildings]],250,0.75*TblConstr[[#This Row],[Land]])-250) * 0.35+87.5,0)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44406.958333333205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44406.999999999869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8" s="113">
        <f ca="1">ROUNDDOWN( MAX(1 - MIN(facs_constr_factor*TblConstr[[#This Row],[Facs DB]],facs_constr_max) + tech_1_11*TblTech[[#This Row],[1-11]] + tech_6_3_2*TblTech[[#This Row],[6-3]] + tech_5_2_3*TblTech[[#This Row],[5-2]], 1-global_constr_cap) * TblConstr[[#This Row],[RCPA Lumber]],0)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ROUND((MAX(TblConstr[[#This Row],[Buildings]],250,0.75*TblConstr[[#This Row],[Land]])-250) * 1.53 + 850,0)</f>
        <v>850</v>
      </c>
      <c r="AW58" s="113">
        <f ca="1">ROUND((MAX(TblConstr[[#This Row],[Buildings]],250,0.75*TblConstr[[#This Row],[Land]])-250) * 0.35+87.5,0)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44406.999999999869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44407.041666666533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9" s="113">
        <f ca="1">ROUNDDOWN( MAX(1 - MIN(facs_constr_factor*TblConstr[[#This Row],[Facs DB]],facs_constr_max) + tech_1_11*TblTech[[#This Row],[1-11]] + tech_6_3_2*TblTech[[#This Row],[6-3]] + tech_5_2_3*TblTech[[#This Row],[5-2]], 1-global_constr_cap) * TblConstr[[#This Row],[RCPA Lumber]],0)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ROUND((MAX(TblConstr[[#This Row],[Buildings]],250,0.75*TblConstr[[#This Row],[Land]])-250) * 1.53 + 850,0)</f>
        <v>850</v>
      </c>
      <c r="AW59" s="113">
        <f ca="1">ROUND((MAX(TblConstr[[#This Row],[Buildings]],250,0.75*TblConstr[[#This Row],[Land]])-250) * 0.35+87.5,0)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44407.041666666533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44407.083333333198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0" s="113">
        <f ca="1">ROUNDDOWN( MAX(1 - MIN(facs_constr_factor*TblConstr[[#This Row],[Facs DB]],facs_constr_max) + tech_1_11*TblTech[[#This Row],[1-11]] + tech_6_3_2*TblTech[[#This Row],[6-3]] + tech_5_2_3*TblTech[[#This Row],[5-2]], 1-global_constr_cap) * TblConstr[[#This Row],[RCPA Lumber]],0)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ROUND((MAX(TblConstr[[#This Row],[Buildings]],250,0.75*TblConstr[[#This Row],[Land]])-250) * 1.53 + 850,0)</f>
        <v>850</v>
      </c>
      <c r="AW60" s="113">
        <f ca="1">ROUND((MAX(TblConstr[[#This Row],[Buildings]],250,0.75*TblConstr[[#This Row],[Land]])-250) * 0.35+87.5,0)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44407.083333333198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44407.124999999862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1" s="113">
        <f ca="1">ROUNDDOWN( MAX(1 - MIN(facs_constr_factor*TblConstr[[#This Row],[Facs DB]],facs_constr_max) + tech_1_11*TblTech[[#This Row],[1-11]] + tech_6_3_2*TblTech[[#This Row],[6-3]] + tech_5_2_3*TblTech[[#This Row],[5-2]], 1-global_constr_cap) * TblConstr[[#This Row],[RCPA Lumber]],0)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ROUND((MAX(TblConstr[[#This Row],[Buildings]],250,0.75*TblConstr[[#This Row],[Land]])-250) * 1.53 + 850,0)</f>
        <v>850</v>
      </c>
      <c r="AW61" s="113">
        <f ca="1">ROUND((MAX(TblConstr[[#This Row],[Buildings]],250,0.75*TblConstr[[#This Row],[Land]])-250) * 0.35+87.5,0)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44407.124999999862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44407.166666666526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2" s="113">
        <f ca="1">ROUNDDOWN( MAX(1 - MIN(facs_constr_factor*TblConstr[[#This Row],[Facs DB]],facs_constr_max) + tech_1_11*TblTech[[#This Row],[1-11]] + tech_6_3_2*TblTech[[#This Row],[6-3]] + tech_5_2_3*TblTech[[#This Row],[5-2]], 1-global_constr_cap) * TblConstr[[#This Row],[RCPA Lumber]],0)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ROUND((MAX(TblConstr[[#This Row],[Buildings]],250,0.75*TblConstr[[#This Row],[Land]])-250) * 1.53 + 850,0)</f>
        <v>850</v>
      </c>
      <c r="AW62" s="113">
        <f ca="1">ROUND((MAX(TblConstr[[#This Row],[Buildings]],250,0.75*TblConstr[[#This Row],[Land]])-250) * 0.35+87.5,0)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44407.166666666526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44407.20833333319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3" s="113">
        <f ca="1">ROUNDDOWN( MAX(1 - MIN(facs_constr_factor*TblConstr[[#This Row],[Facs DB]],facs_constr_max) + tech_1_11*TblTech[[#This Row],[1-11]] + tech_6_3_2*TblTech[[#This Row],[6-3]] + tech_5_2_3*TblTech[[#This Row],[5-2]], 1-global_constr_cap) * TblConstr[[#This Row],[RCPA Lumber]],0)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ROUND((MAX(TblConstr[[#This Row],[Buildings]],250,0.75*TblConstr[[#This Row],[Land]])-250) * 1.53 + 850,0)</f>
        <v>850</v>
      </c>
      <c r="AW63" s="113">
        <f ca="1">ROUND((MAX(TblConstr[[#This Row],[Buildings]],250,0.75*TblConstr[[#This Row],[Land]])-250) * 0.35+87.5,0)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44407.20833333319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44407.249999999854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4" s="113">
        <f ca="1">ROUNDDOWN( MAX(1 - MIN(facs_constr_factor*TblConstr[[#This Row],[Facs DB]],facs_constr_max) + tech_1_11*TblTech[[#This Row],[1-11]] + tech_6_3_2*TblTech[[#This Row],[6-3]] + tech_5_2_3*TblTech[[#This Row],[5-2]], 1-global_constr_cap) * TblConstr[[#This Row],[RCPA Lumber]],0)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ROUND((MAX(TblConstr[[#This Row],[Buildings]],250,0.75*TblConstr[[#This Row],[Land]])-250) * 1.53 + 850,0)</f>
        <v>850</v>
      </c>
      <c r="AW64" s="113">
        <f ca="1">ROUND((MAX(TblConstr[[#This Row],[Buildings]],250,0.75*TblConstr[[#This Row],[Land]])-250) * 0.35+87.5,0)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44407.249999999854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44407.291666666519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5" s="113">
        <f ca="1">ROUNDDOWN( MAX(1 - MIN(facs_constr_factor*TblConstr[[#This Row],[Facs DB]],facs_constr_max) + tech_1_11*TblTech[[#This Row],[1-11]] + tech_6_3_2*TblTech[[#This Row],[6-3]] + tech_5_2_3*TblTech[[#This Row],[5-2]], 1-global_constr_cap) * TblConstr[[#This Row],[RCPA Lumber]],0)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ROUND((MAX(TblConstr[[#This Row],[Buildings]],250,0.75*TblConstr[[#This Row],[Land]])-250) * 1.53 + 850,0)</f>
        <v>850</v>
      </c>
      <c r="AW65" s="113">
        <f ca="1">ROUND((MAX(TblConstr[[#This Row],[Buildings]],250,0.75*TblConstr[[#This Row],[Land]])-250) * 0.35+87.5,0)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44407.291666666519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44407.333333333183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6" s="113">
        <f ca="1">ROUNDDOWN( MAX(1 - MIN(facs_constr_factor*TblConstr[[#This Row],[Facs DB]],facs_constr_max) + tech_1_11*TblTech[[#This Row],[1-11]] + tech_6_3_2*TblTech[[#This Row],[6-3]] + tech_5_2_3*TblTech[[#This Row],[5-2]], 1-global_constr_cap) * TblConstr[[#This Row],[RCPA Lumber]],0)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ROUND((MAX(TblConstr[[#This Row],[Buildings]],250,0.75*TblConstr[[#This Row],[Land]])-250) * 1.53 + 850,0)</f>
        <v>850</v>
      </c>
      <c r="AW66" s="113">
        <f ca="1">ROUND((MAX(TblConstr[[#This Row],[Buildings]],250,0.75*TblConstr[[#This Row],[Land]])-250) * 0.35+87.5,0)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44407.333333333183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44407.374999999847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7" s="113">
        <f ca="1">ROUNDDOWN( MAX(1 - MIN(facs_constr_factor*TblConstr[[#This Row],[Facs DB]],facs_constr_max) + tech_1_11*TblTech[[#This Row],[1-11]] + tech_6_3_2*TblTech[[#This Row],[6-3]] + tech_5_2_3*TblTech[[#This Row],[5-2]], 1-global_constr_cap) * TblConstr[[#This Row],[RCPA Lumber]],0)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ROUND((MAX(TblConstr[[#This Row],[Buildings]],250,0.75*TblConstr[[#This Row],[Land]])-250) * 1.53 + 850,0)</f>
        <v>850</v>
      </c>
      <c r="AW67" s="113">
        <f ca="1">ROUND((MAX(TblConstr[[#This Row],[Buildings]],250,0.75*TblConstr[[#This Row],[Land]])-250) * 0.35+87.5,0)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44407.374999999847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44407.416666666511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8" s="113">
        <f ca="1">ROUNDDOWN( MAX(1 - MIN(facs_constr_factor*TblConstr[[#This Row],[Facs DB]],facs_constr_max) + tech_1_11*TblTech[[#This Row],[1-11]] + tech_6_3_2*TblTech[[#This Row],[6-3]] + tech_5_2_3*TblTech[[#This Row],[5-2]], 1-global_constr_cap) * TblConstr[[#This Row],[RCPA Lumber]],0)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ROUND((MAX(TblConstr[[#This Row],[Buildings]],250,0.75*TblConstr[[#This Row],[Land]])-250) * 1.53 + 850,0)</f>
        <v>850</v>
      </c>
      <c r="AW68" s="113">
        <f ca="1">ROUND((MAX(TblConstr[[#This Row],[Buildings]],250,0.75*TblConstr[[#This Row],[Land]])-250) * 0.35+87.5,0)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44407.416666666511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44407.458333333176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9" s="113">
        <f ca="1">ROUNDDOWN( MAX(1 - MIN(facs_constr_factor*TblConstr[[#This Row],[Facs DB]],facs_constr_max) + tech_1_11*TblTech[[#This Row],[1-11]] + tech_6_3_2*TblTech[[#This Row],[6-3]] + tech_5_2_3*TblTech[[#This Row],[5-2]], 1-global_constr_cap) * TblConstr[[#This Row],[RCPA Lumber]],0)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ROUND((MAX(TblConstr[[#This Row],[Buildings]],250,0.75*TblConstr[[#This Row],[Land]])-250) * 1.53 + 850,0)</f>
        <v>850</v>
      </c>
      <c r="AW69" s="113">
        <f ca="1">ROUND((MAX(TblConstr[[#This Row],[Buildings]],250,0.75*TblConstr[[#This Row],[Land]])-250) * 0.35+87.5,0)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44407.458333333176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44407.49999999984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0" s="113">
        <f ca="1">ROUNDDOWN( MAX(1 - MIN(facs_constr_factor*TblConstr[[#This Row],[Facs DB]],facs_constr_max) + tech_1_11*TblTech[[#This Row],[1-11]] + tech_6_3_2*TblTech[[#This Row],[6-3]] + tech_5_2_3*TblTech[[#This Row],[5-2]], 1-global_constr_cap) * TblConstr[[#This Row],[RCPA Lumber]],0)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ROUND((MAX(TblConstr[[#This Row],[Buildings]],250,0.75*TblConstr[[#This Row],[Land]])-250) * 1.53 + 850,0)</f>
        <v>850</v>
      </c>
      <c r="AW70" s="113">
        <f ca="1">ROUND((MAX(TblConstr[[#This Row],[Buildings]],250,0.75*TblConstr[[#This Row],[Land]])-250) * 0.35+87.5,0)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44407.49999999984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44407.541666666504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1" s="113">
        <f ca="1">ROUNDDOWN( MAX(1 - MIN(facs_constr_factor*TblConstr[[#This Row],[Facs DB]],facs_constr_max) + tech_1_11*TblTech[[#This Row],[1-11]] + tech_6_3_2*TblTech[[#This Row],[6-3]] + tech_5_2_3*TblTech[[#This Row],[5-2]], 1-global_constr_cap) * TblConstr[[#This Row],[RCPA Lumber]],0)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ROUND((MAX(TblConstr[[#This Row],[Buildings]],250,0.75*TblConstr[[#This Row],[Land]])-250) * 1.53 + 850,0)</f>
        <v>850</v>
      </c>
      <c r="AW71" s="113">
        <f ca="1">ROUND((MAX(TblConstr[[#This Row],[Buildings]],250,0.75*TblConstr[[#This Row],[Land]])-250) * 0.35+87.5,0)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44407.541666666504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44407.583333333168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2" s="113">
        <f ca="1">ROUNDDOWN( MAX(1 - MIN(facs_constr_factor*TblConstr[[#This Row],[Facs DB]],facs_constr_max) + tech_1_11*TblTech[[#This Row],[1-11]] + tech_6_3_2*TblTech[[#This Row],[6-3]] + tech_5_2_3*TblTech[[#This Row],[5-2]], 1-global_constr_cap) * TblConstr[[#This Row],[RCPA Lumber]],0)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ROUND((MAX(TblConstr[[#This Row],[Buildings]],250,0.75*TblConstr[[#This Row],[Land]])-250) * 1.53 + 850,0)</f>
        <v>850</v>
      </c>
      <c r="AW72" s="113">
        <f ca="1">ROUND((MAX(TblConstr[[#This Row],[Buildings]],250,0.75*TblConstr[[#This Row],[Land]])-250) * 0.35+87.5,0)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44407.583333333168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44407.624999999833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3" s="113">
        <f ca="1">ROUNDDOWN( MAX(1 - MIN(facs_constr_factor*TblConstr[[#This Row],[Facs DB]],facs_constr_max) + tech_1_11*TblTech[[#This Row],[1-11]] + tech_6_3_2*TblTech[[#This Row],[6-3]] + tech_5_2_3*TblTech[[#This Row],[5-2]], 1-global_constr_cap) * TblConstr[[#This Row],[RCPA Lumber]],0)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ROUND((MAX(TblConstr[[#This Row],[Buildings]],250,0.75*TblConstr[[#This Row],[Land]])-250) * 1.53 + 850,0)</f>
        <v>850</v>
      </c>
      <c r="AW73" s="113">
        <f ca="1">ROUND((MAX(TblConstr[[#This Row],[Buildings]],250,0.75*TblConstr[[#This Row],[Land]])-250) * 0.35+87.5,0)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44407.624999999833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44407.666666666497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4" s="113">
        <f ca="1">ROUNDDOWN( MAX(1 - MIN(facs_constr_factor*TblConstr[[#This Row],[Facs DB]],facs_constr_max) + tech_1_11*TblTech[[#This Row],[1-11]] + tech_6_3_2*TblTech[[#This Row],[6-3]] + tech_5_2_3*TblTech[[#This Row],[5-2]], 1-global_constr_cap) * TblConstr[[#This Row],[RCPA Lumber]],0)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ROUND((MAX(TblConstr[[#This Row],[Buildings]],250,0.75*TblConstr[[#This Row],[Land]])-250) * 1.53 + 850,0)</f>
        <v>850</v>
      </c>
      <c r="AW74" s="113">
        <f ca="1">ROUND((MAX(TblConstr[[#This Row],[Buildings]],250,0.75*TblConstr[[#This Row],[Land]])-250) * 0.35+87.5,0)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44407.666666666497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44407.708333333161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5" s="113">
        <f ca="1">ROUNDDOWN( MAX(1 - MIN(facs_constr_factor*TblConstr[[#This Row],[Facs DB]],facs_constr_max) + tech_1_11*TblTech[[#This Row],[1-11]] + tech_6_3_2*TblTech[[#This Row],[6-3]] + tech_5_2_3*TblTech[[#This Row],[5-2]], 1-global_constr_cap) * TblConstr[[#This Row],[RCPA Lumber]],0)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ROUND((MAX(TblConstr[[#This Row],[Buildings]],250,0.75*TblConstr[[#This Row],[Land]])-250) * 1.53 + 850,0)</f>
        <v>850</v>
      </c>
      <c r="AW75" s="113">
        <f ca="1">ROUND((MAX(TblConstr[[#This Row],[Buildings]],250,0.75*TblConstr[[#This Row],[Land]])-250) * 0.35+87.5,0)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44407.708333333161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44407.749999999825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6" s="262">
        <f ca="1">ROUNDDOWN( MAX(1 - MIN(facs_constr_factor*TblConstr[[#This Row],[Facs DB]],facs_constr_max) + tech_1_11*TblTech[[#This Row],[1-11]] + tech_6_3_2*TblTech[[#This Row],[6-3]] + tech_5_2_3*TblTech[[#This Row],[5-2]], 1-global_constr_cap) * TblConstr[[#This Row],[RCPA Lumber]],0)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ROUND((MAX(TblConstr[[#This Row],[Buildings]],250,0.75*TblConstr[[#This Row],[Land]])-250) * 1.53 + 850,0)</f>
        <v>850</v>
      </c>
      <c r="AW76" s="262">
        <f ca="1">ROUND((MAX(TblConstr[[#This Row],[Buildings]],250,0.75*TblConstr[[#This Row],[Land]])-250) * 0.35+87.5,0)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44407.749999999825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44407.79166666649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7" s="113">
        <f ca="1">ROUNDDOWN( MAX(1 - MIN(facs_constr_factor*TblConstr[[#This Row],[Facs DB]],facs_constr_max) + tech_1_11*TblTech[[#This Row],[1-11]] + tech_6_3_2*TblTech[[#This Row],[6-3]] + tech_5_2_3*TblTech[[#This Row],[5-2]], 1-global_constr_cap) * TblConstr[[#This Row],[RCPA Lumber]],0)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ROUND((MAX(TblConstr[[#This Row],[Buildings]],250,0.75*TblConstr[[#This Row],[Land]])-250) * 1.53 + 850,0)</f>
        <v>850</v>
      </c>
      <c r="AW77" s="113">
        <f ca="1">ROUND((MAX(TblConstr[[#This Row],[Buildings]],250,0.75*TblConstr[[#This Row],[Land]])-250) * 0.35+87.5,0)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44407.79166666649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44407.833333333154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8" s="113">
        <f ca="1">ROUNDDOWN( MAX(1 - MIN(facs_constr_factor*TblConstr[[#This Row],[Facs DB]],facs_constr_max) + tech_1_11*TblTech[[#This Row],[1-11]] + tech_6_3_2*TblTech[[#This Row],[6-3]] + tech_5_2_3*TblTech[[#This Row],[5-2]], 1-global_constr_cap) * TblConstr[[#This Row],[RCPA Lumber]],0)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ROUND((MAX(TblConstr[[#This Row],[Buildings]],250,0.75*TblConstr[[#This Row],[Land]])-250) * 1.53 + 850,0)</f>
        <v>850</v>
      </c>
      <c r="AW78" s="113">
        <f ca="1">ROUND((MAX(TblConstr[[#This Row],[Buildings]],250,0.75*TblConstr[[#This Row],[Land]])-250) * 0.35+87.5,0)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44407.833333333154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44407.874999999818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9" s="113">
        <f ca="1">ROUNDDOWN( MAX(1 - MIN(facs_constr_factor*TblConstr[[#This Row],[Facs DB]],facs_constr_max) + tech_1_11*TblTech[[#This Row],[1-11]] + tech_6_3_2*TblTech[[#This Row],[6-3]] + tech_5_2_3*TblTech[[#This Row],[5-2]], 1-global_constr_cap) * TblConstr[[#This Row],[RCPA Lumber]],0)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ROUND((MAX(TblConstr[[#This Row],[Buildings]],250,0.75*TblConstr[[#This Row],[Land]])-250) * 1.53 + 850,0)</f>
        <v>850</v>
      </c>
      <c r="AW79" s="113">
        <f ca="1">ROUND((MAX(TblConstr[[#This Row],[Buildings]],250,0.75*TblConstr[[#This Row],[Land]])-250) * 0.35+87.5,0)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44407.874999999818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44407.916666666482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0" s="113">
        <f ca="1">ROUNDDOWN( MAX(1 - MIN(facs_constr_factor*TblConstr[[#This Row],[Facs DB]],facs_constr_max) + tech_1_11*TblTech[[#This Row],[1-11]] + tech_6_3_2*TblTech[[#This Row],[6-3]] + tech_5_2_3*TblTech[[#This Row],[5-2]], 1-global_constr_cap) * TblConstr[[#This Row],[RCPA Lumber]],0)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ROUND((MAX(TblConstr[[#This Row],[Buildings]],250,0.75*TblConstr[[#This Row],[Land]])-250) * 1.53 + 850,0)</f>
        <v>850</v>
      </c>
      <c r="AW80" s="113">
        <f ca="1">ROUND((MAX(TblConstr[[#This Row],[Buildings]],250,0.75*TblConstr[[#This Row],[Land]])-250) * 0.35+87.5,0)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44407.916666666482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44407.958333333147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1" s="113">
        <f ca="1">ROUNDDOWN( MAX(1 - MIN(facs_constr_factor*TblConstr[[#This Row],[Facs DB]],facs_constr_max) + tech_1_11*TblTech[[#This Row],[1-11]] + tech_6_3_2*TblTech[[#This Row],[6-3]] + tech_5_2_3*TblTech[[#This Row],[5-2]], 1-global_constr_cap) * TblConstr[[#This Row],[RCPA Lumber]],0)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ROUND((MAX(TblConstr[[#This Row],[Buildings]],250,0.75*TblConstr[[#This Row],[Land]])-250) * 1.53 + 850,0)</f>
        <v>850</v>
      </c>
      <c r="AW81" s="113">
        <f ca="1">ROUND((MAX(TblConstr[[#This Row],[Buildings]],250,0.75*TblConstr[[#This Row],[Land]])-250) * 0.35+87.5,0)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44407.958333333147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44407.999999999811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2" s="113">
        <f ca="1">ROUNDDOWN( MAX(1 - MIN(facs_constr_factor*TblConstr[[#This Row],[Facs DB]],facs_constr_max) + tech_1_11*TblTech[[#This Row],[1-11]] + tech_6_3_2*TblTech[[#This Row],[6-3]] + tech_5_2_3*TblTech[[#This Row],[5-2]], 1-global_constr_cap) * TblConstr[[#This Row],[RCPA Lumber]],0)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ROUND((MAX(TblConstr[[#This Row],[Buildings]],250,0.75*TblConstr[[#This Row],[Land]])-250) * 1.53 + 850,0)</f>
        <v>850</v>
      </c>
      <c r="AW82" s="113">
        <f ca="1">ROUND((MAX(TblConstr[[#This Row],[Buildings]],250,0.75*TblConstr[[#This Row],[Land]])-250) * 0.35+87.5,0)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44407.999999999811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44408.041666666475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3" s="113">
        <f ca="1">ROUNDDOWN( MAX(1 - MIN(facs_constr_factor*TblConstr[[#This Row],[Facs DB]],facs_constr_max) + tech_1_11*TblTech[[#This Row],[1-11]] + tech_6_3_2*TblTech[[#This Row],[6-3]] + tech_5_2_3*TblTech[[#This Row],[5-2]], 1-global_constr_cap) * TblConstr[[#This Row],[RCPA Lumber]],0)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ROUND((MAX(TblConstr[[#This Row],[Buildings]],250,0.75*TblConstr[[#This Row],[Land]])-250) * 1.53 + 850,0)</f>
        <v>850</v>
      </c>
      <c r="AW83" s="113">
        <f ca="1">ROUND((MAX(TblConstr[[#This Row],[Buildings]],250,0.75*TblConstr[[#This Row],[Land]])-250) * 0.35+87.5,0)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44408.041666666475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44408.083333333139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4" s="113">
        <f ca="1">ROUNDDOWN( MAX(1 - MIN(facs_constr_factor*TblConstr[[#This Row],[Facs DB]],facs_constr_max) + tech_1_11*TblTech[[#This Row],[1-11]] + tech_6_3_2*TblTech[[#This Row],[6-3]] + tech_5_2_3*TblTech[[#This Row],[5-2]], 1-global_constr_cap) * TblConstr[[#This Row],[RCPA Lumber]],0)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ROUND((MAX(TblConstr[[#This Row],[Buildings]],250,0.75*TblConstr[[#This Row],[Land]])-250) * 1.53 + 850,0)</f>
        <v>850</v>
      </c>
      <c r="AW84" s="113">
        <f ca="1">ROUND((MAX(TblConstr[[#This Row],[Buildings]],250,0.75*TblConstr[[#This Row],[Land]])-250) * 0.35+87.5,0)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44408.083333333139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44408.124999999804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5" s="113">
        <f ca="1">ROUNDDOWN( MAX(1 - MIN(facs_constr_factor*TblConstr[[#This Row],[Facs DB]],facs_constr_max) + tech_1_11*TblTech[[#This Row],[1-11]] + tech_6_3_2*TblTech[[#This Row],[6-3]] + tech_5_2_3*TblTech[[#This Row],[5-2]], 1-global_constr_cap) * TblConstr[[#This Row],[RCPA Lumber]],0)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ROUND((MAX(TblConstr[[#This Row],[Buildings]],250,0.75*TblConstr[[#This Row],[Land]])-250) * 1.53 + 850,0)</f>
        <v>850</v>
      </c>
      <c r="AW85" s="113">
        <f ca="1">ROUND((MAX(TblConstr[[#This Row],[Buildings]],250,0.75*TblConstr[[#This Row],[Land]])-250) * 0.35+87.5,0)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44408.124999999804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44408.166666666468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6" s="113">
        <f ca="1">ROUNDDOWN( MAX(1 - MIN(facs_constr_factor*TblConstr[[#This Row],[Facs DB]],facs_constr_max) + tech_1_11*TblTech[[#This Row],[1-11]] + tech_6_3_2*TblTech[[#This Row],[6-3]] + tech_5_2_3*TblTech[[#This Row],[5-2]], 1-global_constr_cap) * TblConstr[[#This Row],[RCPA Lumber]],0)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ROUND((MAX(TblConstr[[#This Row],[Buildings]],250,0.75*TblConstr[[#This Row],[Land]])-250) * 1.53 + 850,0)</f>
        <v>850</v>
      </c>
      <c r="AW86" s="113">
        <f ca="1">ROUND((MAX(TblConstr[[#This Row],[Buildings]],250,0.75*TblConstr[[#This Row],[Land]])-250) * 0.35+87.5,0)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44408.166666666468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44408.208333333132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7" s="113">
        <f ca="1">ROUNDDOWN( MAX(1 - MIN(facs_constr_factor*TblConstr[[#This Row],[Facs DB]],facs_constr_max) + tech_1_11*TblTech[[#This Row],[1-11]] + tech_6_3_2*TblTech[[#This Row],[6-3]] + tech_5_2_3*TblTech[[#This Row],[5-2]], 1-global_constr_cap) * TblConstr[[#This Row],[RCPA Lumber]],0)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ROUND((MAX(TblConstr[[#This Row],[Buildings]],250,0.75*TblConstr[[#This Row],[Land]])-250) * 1.53 + 850,0)</f>
        <v>850</v>
      </c>
      <c r="AW87" s="113">
        <f ca="1">ROUND((MAX(TblConstr[[#This Row],[Buildings]],250,0.75*TblConstr[[#This Row],[Land]])-250) * 0.35+87.5,0)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44408.208333333132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44408.249999999796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8" s="113">
        <f ca="1">ROUNDDOWN( MAX(1 - MIN(facs_constr_factor*TblConstr[[#This Row],[Facs DB]],facs_constr_max) + tech_1_11*TblTech[[#This Row],[1-11]] + tech_6_3_2*TblTech[[#This Row],[6-3]] + tech_5_2_3*TblTech[[#This Row],[5-2]], 1-global_constr_cap) * TblConstr[[#This Row],[RCPA Lumber]],0)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ROUND((MAX(TblConstr[[#This Row],[Buildings]],250,0.75*TblConstr[[#This Row],[Land]])-250) * 1.53 + 850,0)</f>
        <v>850</v>
      </c>
      <c r="AW88" s="113">
        <f ca="1">ROUND((MAX(TblConstr[[#This Row],[Buildings]],250,0.75*TblConstr[[#This Row],[Land]])-250) * 0.35+87.5,0)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44408.249999999796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44408.291666666461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9" s="113">
        <f ca="1">ROUNDDOWN( MAX(1 - MIN(facs_constr_factor*TblConstr[[#This Row],[Facs DB]],facs_constr_max) + tech_1_11*TblTech[[#This Row],[1-11]] + tech_6_3_2*TblTech[[#This Row],[6-3]] + tech_5_2_3*TblTech[[#This Row],[5-2]], 1-global_constr_cap) * TblConstr[[#This Row],[RCPA Lumber]],0)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ROUND((MAX(TblConstr[[#This Row],[Buildings]],250,0.75*TblConstr[[#This Row],[Land]])-250) * 1.53 + 850,0)</f>
        <v>850</v>
      </c>
      <c r="AW89" s="113">
        <f ca="1">ROUND((MAX(TblConstr[[#This Row],[Buildings]],250,0.75*TblConstr[[#This Row],[Land]])-250) * 0.35+87.5,0)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44408.291666666461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44408.333333333125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0" s="113">
        <f ca="1">ROUNDDOWN( MAX(1 - MIN(facs_constr_factor*TblConstr[[#This Row],[Facs DB]],facs_constr_max) + tech_1_11*TblTech[[#This Row],[1-11]] + tech_6_3_2*TblTech[[#This Row],[6-3]] + tech_5_2_3*TblTech[[#This Row],[5-2]], 1-global_constr_cap) * TblConstr[[#This Row],[RCPA Lumber]],0)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ROUND((MAX(TblConstr[[#This Row],[Buildings]],250,0.75*TblConstr[[#This Row],[Land]])-250) * 1.53 + 850,0)</f>
        <v>850</v>
      </c>
      <c r="AW90" s="113">
        <f ca="1">ROUND((MAX(TblConstr[[#This Row],[Buildings]],250,0.75*TblConstr[[#This Row],[Land]])-250) * 0.35+87.5,0)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44408.333333333125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44408.374999999789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1" s="113">
        <f ca="1">ROUNDDOWN( MAX(1 - MIN(facs_constr_factor*TblConstr[[#This Row],[Facs DB]],facs_constr_max) + tech_1_11*TblTech[[#This Row],[1-11]] + tech_6_3_2*TblTech[[#This Row],[6-3]] + tech_5_2_3*TblTech[[#This Row],[5-2]], 1-global_constr_cap) * TblConstr[[#This Row],[RCPA Lumber]],0)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ROUND((MAX(TblConstr[[#This Row],[Buildings]],250,0.75*TblConstr[[#This Row],[Land]])-250) * 1.53 + 850,0)</f>
        <v>850</v>
      </c>
      <c r="AW91" s="113">
        <f ca="1">ROUND((MAX(TblConstr[[#This Row],[Buildings]],250,0.75*TblConstr[[#This Row],[Land]])-250) * 0.35+87.5,0)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44408.374999999789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44408.416666666453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2" s="113">
        <f ca="1">ROUNDDOWN( MAX(1 - MIN(facs_constr_factor*TblConstr[[#This Row],[Facs DB]],facs_constr_max) + tech_1_11*TblTech[[#This Row],[1-11]] + tech_6_3_2*TblTech[[#This Row],[6-3]] + tech_5_2_3*TblTech[[#This Row],[5-2]], 1-global_constr_cap) * TblConstr[[#This Row],[RCPA Lumber]],0)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ROUND((MAX(TblConstr[[#This Row],[Buildings]],250,0.75*TblConstr[[#This Row],[Land]])-250) * 1.53 + 850,0)</f>
        <v>850</v>
      </c>
      <c r="AW92" s="113">
        <f ca="1">ROUND((MAX(TblConstr[[#This Row],[Buildings]],250,0.75*TblConstr[[#This Row],[Land]])-250) * 0.35+87.5,0)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44408.416666666453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44408.458333333117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3" s="113">
        <f ca="1">ROUNDDOWN( MAX(1 - MIN(facs_constr_factor*TblConstr[[#This Row],[Facs DB]],facs_constr_max) + tech_1_11*TblTech[[#This Row],[1-11]] + tech_6_3_2*TblTech[[#This Row],[6-3]] + tech_5_2_3*TblTech[[#This Row],[5-2]], 1-global_constr_cap) * TblConstr[[#This Row],[RCPA Lumber]],0)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ROUND((MAX(TblConstr[[#This Row],[Buildings]],250,0.75*TblConstr[[#This Row],[Land]])-250) * 1.53 + 850,0)</f>
        <v>850</v>
      </c>
      <c r="AW93" s="113">
        <f ca="1">ROUND((MAX(TblConstr[[#This Row],[Buildings]],250,0.75*TblConstr[[#This Row],[Land]])-250) * 0.35+87.5,0)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44408.458333333117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44408.499999999782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4" s="113">
        <f ca="1">ROUNDDOWN( MAX(1 - MIN(facs_constr_factor*TblConstr[[#This Row],[Facs DB]],facs_constr_max) + tech_1_11*TblTech[[#This Row],[1-11]] + tech_6_3_2*TblTech[[#This Row],[6-3]] + tech_5_2_3*TblTech[[#This Row],[5-2]], 1-global_constr_cap) * TblConstr[[#This Row],[RCPA Lumber]],0)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ROUND((MAX(TblConstr[[#This Row],[Buildings]],250,0.75*TblConstr[[#This Row],[Land]])-250) * 1.53 + 850,0)</f>
        <v>850</v>
      </c>
      <c r="AW94" s="113">
        <f ca="1">ROUND((MAX(TblConstr[[#This Row],[Buildings]],250,0.75*TblConstr[[#This Row],[Land]])-250) * 0.35+87.5,0)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44408.499999999782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44408.541666666446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5" s="113">
        <f ca="1">ROUNDDOWN( MAX(1 - MIN(facs_constr_factor*TblConstr[[#This Row],[Facs DB]],facs_constr_max) + tech_1_11*TblTech[[#This Row],[1-11]] + tech_6_3_2*TblTech[[#This Row],[6-3]] + tech_5_2_3*TblTech[[#This Row],[5-2]], 1-global_constr_cap) * TblConstr[[#This Row],[RCPA Lumber]],0)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ROUND((MAX(TblConstr[[#This Row],[Buildings]],250,0.75*TblConstr[[#This Row],[Land]])-250) * 1.53 + 850,0)</f>
        <v>850</v>
      </c>
      <c r="AW95" s="113">
        <f ca="1">ROUND((MAX(TblConstr[[#This Row],[Buildings]],250,0.75*TblConstr[[#This Row],[Land]])-250) * 0.35+87.5,0)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44408.541666666446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44408.58333333311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6" s="113">
        <f ca="1">ROUNDDOWN( MAX(1 - MIN(facs_constr_factor*TblConstr[[#This Row],[Facs DB]],facs_constr_max) + tech_1_11*TblTech[[#This Row],[1-11]] + tech_6_3_2*TblTech[[#This Row],[6-3]] + tech_5_2_3*TblTech[[#This Row],[5-2]], 1-global_constr_cap) * TblConstr[[#This Row],[RCPA Lumber]],0)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ROUND((MAX(TblConstr[[#This Row],[Buildings]],250,0.75*TblConstr[[#This Row],[Land]])-250) * 1.53 + 850,0)</f>
        <v>850</v>
      </c>
      <c r="AW96" s="113">
        <f ca="1">ROUND((MAX(TblConstr[[#This Row],[Buildings]],250,0.75*TblConstr[[#This Row],[Land]])-250) * 0.35+87.5,0)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44408.58333333311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44408.624999999774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7" s="113">
        <f ca="1">ROUNDDOWN( MAX(1 - MIN(facs_constr_factor*TblConstr[[#This Row],[Facs DB]],facs_constr_max) + tech_1_11*TblTech[[#This Row],[1-11]] + tech_6_3_2*TblTech[[#This Row],[6-3]] + tech_5_2_3*TblTech[[#This Row],[5-2]], 1-global_constr_cap) * TblConstr[[#This Row],[RCPA Lumber]],0)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ROUND((MAX(TblConstr[[#This Row],[Buildings]],250,0.75*TblConstr[[#This Row],[Land]])-250) * 1.53 + 850,0)</f>
        <v>850</v>
      </c>
      <c r="AW97" s="113">
        <f ca="1">ROUND((MAX(TblConstr[[#This Row],[Buildings]],250,0.75*TblConstr[[#This Row],[Land]])-250) * 0.35+87.5,0)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44408.624999999774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44408.666666666439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8" s="113">
        <f ca="1">ROUNDDOWN( MAX(1 - MIN(facs_constr_factor*TblConstr[[#This Row],[Facs DB]],facs_constr_max) + tech_1_11*TblTech[[#This Row],[1-11]] + tech_6_3_2*TblTech[[#This Row],[6-3]] + tech_5_2_3*TblTech[[#This Row],[5-2]], 1-global_constr_cap) * TblConstr[[#This Row],[RCPA Lumber]],0)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ROUND((MAX(TblConstr[[#This Row],[Buildings]],250,0.75*TblConstr[[#This Row],[Land]])-250) * 1.53 + 850,0)</f>
        <v>850</v>
      </c>
      <c r="AW98" s="113">
        <f ca="1">ROUND((MAX(TblConstr[[#This Row],[Buildings]],250,0.75*TblConstr[[#This Row],[Land]])-250) * 0.35+87.5,0)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44408.666666666439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44408.708333333103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9" s="113">
        <f ca="1">ROUNDDOWN( MAX(1 - MIN(facs_constr_factor*TblConstr[[#This Row],[Facs DB]],facs_constr_max) + tech_1_11*TblTech[[#This Row],[1-11]] + tech_6_3_2*TblTech[[#This Row],[6-3]] + tech_5_2_3*TblTech[[#This Row],[5-2]], 1-global_constr_cap) * TblConstr[[#This Row],[RCPA Lumber]],0)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ROUND((MAX(TblConstr[[#This Row],[Buildings]],250,0.75*TblConstr[[#This Row],[Land]])-250) * 1.53 + 850,0)</f>
        <v>850</v>
      </c>
      <c r="AW99" s="113">
        <f ca="1">ROUND((MAX(TblConstr[[#This Row],[Buildings]],250,0.75*TblConstr[[#This Row],[Land]])-250) * 0.35+87.5,0)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44408.708333333103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44408.749999999767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0" s="113">
        <f ca="1">ROUNDDOWN( MAX(1 - MIN(facs_constr_factor*TblConstr[[#This Row],[Facs DB]],facs_constr_max) + tech_1_11*TblTech[[#This Row],[1-11]] + tech_6_3_2*TblTech[[#This Row],[6-3]] + tech_5_2_3*TblTech[[#This Row],[5-2]], 1-global_constr_cap) * TblConstr[[#This Row],[RCPA Lumber]],0)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ROUND((MAX(TblConstr[[#This Row],[Buildings]],250,0.75*TblConstr[[#This Row],[Land]])-250) * 1.53 + 850,0)</f>
        <v>850</v>
      </c>
      <c r="AW100" s="113">
        <f ca="1">ROUND((MAX(TblConstr[[#This Row],[Buildings]],250,0.75*TblConstr[[#This Row],[Land]])-250) * 0.35+87.5,0)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44408.749999999767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44408.791666666431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1" s="113">
        <f ca="1">ROUNDDOWN( MAX(1 - MIN(facs_constr_factor*TblConstr[[#This Row],[Facs DB]],facs_constr_max) + tech_1_11*TblTech[[#This Row],[1-11]] + tech_6_3_2*TblTech[[#This Row],[6-3]] + tech_5_2_3*TblTech[[#This Row],[5-2]], 1-global_constr_cap) * TblConstr[[#This Row],[RCPA Lumber]],0)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ROUND((MAX(TblConstr[[#This Row],[Buildings]],250,0.75*TblConstr[[#This Row],[Land]])-250) * 1.53 + 850,0)</f>
        <v>850</v>
      </c>
      <c r="AW101" s="113">
        <f ca="1">ROUND((MAX(TblConstr[[#This Row],[Buildings]],250,0.75*TblConstr[[#This Row],[Land]])-250) * 0.35+87.5,0)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44408.791666666431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44408.833333333096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2" s="113">
        <f ca="1">ROUNDDOWN( MAX(1 - MIN(facs_constr_factor*TblConstr[[#This Row],[Facs DB]],facs_constr_max) + tech_1_11*TblTech[[#This Row],[1-11]] + tech_6_3_2*TblTech[[#This Row],[6-3]] + tech_5_2_3*TblTech[[#This Row],[5-2]], 1-global_constr_cap) * TblConstr[[#This Row],[RCPA Lumber]],0)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ROUND((MAX(TblConstr[[#This Row],[Buildings]],250,0.75*TblConstr[[#This Row],[Land]])-250) * 1.53 + 850,0)</f>
        <v>850</v>
      </c>
      <c r="AW102" s="113">
        <f ca="1">ROUND((MAX(TblConstr[[#This Row],[Buildings]],250,0.75*TblConstr[[#This Row],[Land]])-250) * 0.35+87.5,0)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44408.833333333096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44408.87499999976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3" s="113">
        <f ca="1">ROUNDDOWN( MAX(1 - MIN(facs_constr_factor*TblConstr[[#This Row],[Facs DB]],facs_constr_max) + tech_1_11*TblTech[[#This Row],[1-11]] + tech_6_3_2*TblTech[[#This Row],[6-3]] + tech_5_2_3*TblTech[[#This Row],[5-2]], 1-global_constr_cap) * TblConstr[[#This Row],[RCPA Lumber]],0)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ROUND((MAX(TblConstr[[#This Row],[Buildings]],250,0.75*TblConstr[[#This Row],[Land]])-250) * 1.53 + 850,0)</f>
        <v>850</v>
      </c>
      <c r="AW103" s="113">
        <f ca="1">ROUND((MAX(TblConstr[[#This Row],[Buildings]],250,0.75*TblConstr[[#This Row],[Land]])-250) * 0.35+87.5,0)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44408.87499999976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44408.916666666424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4" s="113">
        <f ca="1">ROUNDDOWN( MAX(1 - MIN(facs_constr_factor*TblConstr[[#This Row],[Facs DB]],facs_constr_max) + tech_1_11*TblTech[[#This Row],[1-11]] + tech_6_3_2*TblTech[[#This Row],[6-3]] + tech_5_2_3*TblTech[[#This Row],[5-2]], 1-global_constr_cap) * TblConstr[[#This Row],[RCPA Lumber]],0)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ROUND((MAX(TblConstr[[#This Row],[Buildings]],250,0.75*TblConstr[[#This Row],[Land]])-250) * 1.53 + 850,0)</f>
        <v>850</v>
      </c>
      <c r="AW104" s="113">
        <f ca="1">ROUND((MAX(TblConstr[[#This Row],[Buildings]],250,0.75*TblConstr[[#This Row],[Land]])-250) * 0.35+87.5,0)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44408.916666666424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44408.958333333088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5" s="113">
        <f ca="1">ROUNDDOWN( MAX(1 - MIN(facs_constr_factor*TblConstr[[#This Row],[Facs DB]],facs_constr_max) + tech_1_11*TblTech[[#This Row],[1-11]] + tech_6_3_2*TblTech[[#This Row],[6-3]] + tech_5_2_3*TblTech[[#This Row],[5-2]], 1-global_constr_cap) * TblConstr[[#This Row],[RCPA Lumber]],0)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ROUND((MAX(TblConstr[[#This Row],[Buildings]],250,0.75*TblConstr[[#This Row],[Land]])-250) * 1.53 + 850,0)</f>
        <v>850</v>
      </c>
      <c r="AW105" s="113">
        <f ca="1">ROUND((MAX(TblConstr[[#This Row],[Buildings]],250,0.75*TblConstr[[#This Row],[Land]])-250) * 0.35+87.5,0)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44408.958333333088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44408.999999999753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6" s="113">
        <f ca="1">ROUNDDOWN( MAX(1 - MIN(facs_constr_factor*TblConstr[[#This Row],[Facs DB]],facs_constr_max) + tech_1_11*TblTech[[#This Row],[1-11]] + tech_6_3_2*TblTech[[#This Row],[6-3]] + tech_5_2_3*TblTech[[#This Row],[5-2]], 1-global_constr_cap) * TblConstr[[#This Row],[RCPA Lumber]],0)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ROUND((MAX(TblConstr[[#This Row],[Buildings]],250,0.75*TblConstr[[#This Row],[Land]])-250) * 1.53 + 850,0)</f>
        <v>850</v>
      </c>
      <c r="AW106" s="113">
        <f ca="1">ROUND((MAX(TblConstr[[#This Row],[Buildings]],250,0.75*TblConstr[[#This Row],[Land]])-250) * 0.35+87.5,0)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44408.999999999753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44409.041666666417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7" s="113">
        <f ca="1">ROUNDDOWN( MAX(1 - MIN(facs_constr_factor*TblConstr[[#This Row],[Facs DB]],facs_constr_max) + tech_1_11*TblTech[[#This Row],[1-11]] + tech_6_3_2*TblTech[[#This Row],[6-3]] + tech_5_2_3*TblTech[[#This Row],[5-2]], 1-global_constr_cap) * TblConstr[[#This Row],[RCPA Lumber]],0)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ROUND((MAX(TblConstr[[#This Row],[Buildings]],250,0.75*TblConstr[[#This Row],[Land]])-250) * 1.53 + 850,0)</f>
        <v>850</v>
      </c>
      <c r="AW107" s="113">
        <f ca="1">ROUND((MAX(TblConstr[[#This Row],[Buildings]],250,0.75*TblConstr[[#This Row],[Land]])-250) * 0.35+87.5,0)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44409.041666666417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44409.083333333081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8" s="113">
        <f ca="1">ROUNDDOWN( MAX(1 - MIN(facs_constr_factor*TblConstr[[#This Row],[Facs DB]],facs_constr_max) + tech_1_11*TblTech[[#This Row],[1-11]] + tech_6_3_2*TblTech[[#This Row],[6-3]] + tech_5_2_3*TblTech[[#This Row],[5-2]], 1-global_constr_cap) * TblConstr[[#This Row],[RCPA Lumber]],0)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ROUND((MAX(TblConstr[[#This Row],[Buildings]],250,0.75*TblConstr[[#This Row],[Land]])-250) * 1.53 + 850,0)</f>
        <v>850</v>
      </c>
      <c r="AW108" s="113">
        <f ca="1">ROUND((MAX(TblConstr[[#This Row],[Buildings]],250,0.75*TblConstr[[#This Row],[Land]])-250) * 0.35+87.5,0)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44409.083333333081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44409.124999999745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9" s="113">
        <f ca="1">ROUNDDOWN( MAX(1 - MIN(facs_constr_factor*TblConstr[[#This Row],[Facs DB]],facs_constr_max) + tech_1_11*TblTech[[#This Row],[1-11]] + tech_6_3_2*TblTech[[#This Row],[6-3]] + tech_5_2_3*TblTech[[#This Row],[5-2]], 1-global_constr_cap) * TblConstr[[#This Row],[RCPA Lumber]],0)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ROUND((MAX(TblConstr[[#This Row],[Buildings]],250,0.75*TblConstr[[#This Row],[Land]])-250) * 1.53 + 850,0)</f>
        <v>850</v>
      </c>
      <c r="AW109" s="113">
        <f ca="1">ROUND((MAX(TblConstr[[#This Row],[Buildings]],250,0.75*TblConstr[[#This Row],[Land]])-250) * 0.35+87.5,0)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44409.124999999745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44409.16666666641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0" s="113">
        <f ca="1">ROUNDDOWN( MAX(1 - MIN(facs_constr_factor*TblConstr[[#This Row],[Facs DB]],facs_constr_max) + tech_1_11*TblTech[[#This Row],[1-11]] + tech_6_3_2*TblTech[[#This Row],[6-3]] + tech_5_2_3*TblTech[[#This Row],[5-2]], 1-global_constr_cap) * TblConstr[[#This Row],[RCPA Lumber]],0)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ROUND((MAX(TblConstr[[#This Row],[Buildings]],250,0.75*TblConstr[[#This Row],[Land]])-250) * 1.53 + 850,0)</f>
        <v>850</v>
      </c>
      <c r="AW110" s="113">
        <f ca="1">ROUND((MAX(TblConstr[[#This Row],[Buildings]],250,0.75*TblConstr[[#This Row],[Land]])-250) * 0.35+87.5,0)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44409.16666666641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44409.208333333074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1" s="113">
        <f ca="1">ROUNDDOWN( MAX(1 - MIN(facs_constr_factor*TblConstr[[#This Row],[Facs DB]],facs_constr_max) + tech_1_11*TblTech[[#This Row],[1-11]] + tech_6_3_2*TblTech[[#This Row],[6-3]] + tech_5_2_3*TblTech[[#This Row],[5-2]], 1-global_constr_cap) * TblConstr[[#This Row],[RCPA Lumber]],0)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ROUND((MAX(TblConstr[[#This Row],[Buildings]],250,0.75*TblConstr[[#This Row],[Land]])-250) * 1.53 + 850,0)</f>
        <v>850</v>
      </c>
      <c r="AW111" s="113">
        <f ca="1">ROUND((MAX(TblConstr[[#This Row],[Buildings]],250,0.75*TblConstr[[#This Row],[Land]])-250) * 0.35+87.5,0)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44409.208333333074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44409.249999999738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2" s="113">
        <f ca="1">ROUNDDOWN( MAX(1 - MIN(facs_constr_factor*TblConstr[[#This Row],[Facs DB]],facs_constr_max) + tech_1_11*TblTech[[#This Row],[1-11]] + tech_6_3_2*TblTech[[#This Row],[6-3]] + tech_5_2_3*TblTech[[#This Row],[5-2]], 1-global_constr_cap) * TblConstr[[#This Row],[RCPA Lumber]],0)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ROUND((MAX(TblConstr[[#This Row],[Buildings]],250,0.75*TblConstr[[#This Row],[Land]])-250) * 1.53 + 850,0)</f>
        <v>850</v>
      </c>
      <c r="AW112" s="113">
        <f ca="1">ROUND((MAX(TblConstr[[#This Row],[Buildings]],250,0.75*TblConstr[[#This Row],[Land]])-250) * 0.35+87.5,0)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44409.249999999738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44409.291666666402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3" s="113">
        <f ca="1">ROUNDDOWN( MAX(1 - MIN(facs_constr_factor*TblConstr[[#This Row],[Facs DB]],facs_constr_max) + tech_1_11*TblTech[[#This Row],[1-11]] + tech_6_3_2*TblTech[[#This Row],[6-3]] + tech_5_2_3*TblTech[[#This Row],[5-2]], 1-global_constr_cap) * TblConstr[[#This Row],[RCPA Lumber]],0)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ROUND((MAX(TblConstr[[#This Row],[Buildings]],250,0.75*TblConstr[[#This Row],[Land]])-250) * 1.53 + 850,0)</f>
        <v>850</v>
      </c>
      <c r="AW113" s="113">
        <f ca="1">ROUND((MAX(TblConstr[[#This Row],[Buildings]],250,0.75*TblConstr[[#This Row],[Land]])-250) * 0.35+87.5,0)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44409.291666666402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44409.333333333067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4" s="113">
        <f ca="1">ROUNDDOWN( MAX(1 - MIN(facs_constr_factor*TblConstr[[#This Row],[Facs DB]],facs_constr_max) + tech_1_11*TblTech[[#This Row],[1-11]] + tech_6_3_2*TblTech[[#This Row],[6-3]] + tech_5_2_3*TblTech[[#This Row],[5-2]], 1-global_constr_cap) * TblConstr[[#This Row],[RCPA Lumber]],0)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ROUND((MAX(TblConstr[[#This Row],[Buildings]],250,0.75*TblConstr[[#This Row],[Land]])-250) * 1.53 + 850,0)</f>
        <v>850</v>
      </c>
      <c r="AW114" s="113">
        <f ca="1">ROUND((MAX(TblConstr[[#This Row],[Buildings]],250,0.75*TblConstr[[#This Row],[Land]])-250) * 0.35+87.5,0)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44409.333333333067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44409.374999999731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5" s="113">
        <f ca="1">ROUNDDOWN( MAX(1 - MIN(facs_constr_factor*TblConstr[[#This Row],[Facs DB]],facs_constr_max) + tech_1_11*TblTech[[#This Row],[1-11]] + tech_6_3_2*TblTech[[#This Row],[6-3]] + tech_5_2_3*TblTech[[#This Row],[5-2]], 1-global_constr_cap) * TblConstr[[#This Row],[RCPA Lumber]],0)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ROUND((MAX(TblConstr[[#This Row],[Buildings]],250,0.75*TblConstr[[#This Row],[Land]])-250) * 1.53 + 850,0)</f>
        <v>850</v>
      </c>
      <c r="AW115" s="113">
        <f ca="1">ROUND((MAX(TblConstr[[#This Row],[Buildings]],250,0.75*TblConstr[[#This Row],[Land]])-250) * 0.35+87.5,0)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44409.374999999731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44409.416666666395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6" s="113">
        <f ca="1">ROUNDDOWN( MAX(1 - MIN(facs_constr_factor*TblConstr[[#This Row],[Facs DB]],facs_constr_max) + tech_1_11*TblTech[[#This Row],[1-11]] + tech_6_3_2*TblTech[[#This Row],[6-3]] + tech_5_2_3*TblTech[[#This Row],[5-2]], 1-global_constr_cap) * TblConstr[[#This Row],[RCPA Lumber]],0)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ROUND((MAX(TblConstr[[#This Row],[Buildings]],250,0.75*TblConstr[[#This Row],[Land]])-250) * 1.53 + 850,0)</f>
        <v>850</v>
      </c>
      <c r="AW116" s="113">
        <f ca="1">ROUND((MAX(TblConstr[[#This Row],[Buildings]],250,0.75*TblConstr[[#This Row],[Land]])-250) * 0.35+87.5,0)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44409.416666666395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44409.458333333059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7" s="113">
        <f ca="1">ROUNDDOWN( MAX(1 - MIN(facs_constr_factor*TblConstr[[#This Row],[Facs DB]],facs_constr_max) + tech_1_11*TblTech[[#This Row],[1-11]] + tech_6_3_2*TblTech[[#This Row],[6-3]] + tech_5_2_3*TblTech[[#This Row],[5-2]], 1-global_constr_cap) * TblConstr[[#This Row],[RCPA Lumber]],0)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ROUND((MAX(TblConstr[[#This Row],[Buildings]],250,0.75*TblConstr[[#This Row],[Land]])-250) * 1.53 + 850,0)</f>
        <v>850</v>
      </c>
      <c r="AW117" s="113">
        <f ca="1">ROUND((MAX(TblConstr[[#This Row],[Buildings]],250,0.75*TblConstr[[#This Row],[Land]])-250) * 0.35+87.5,0)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44409.458333333059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44409.499999999724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8" s="113">
        <f ca="1">ROUNDDOWN( MAX(1 - MIN(facs_constr_factor*TblConstr[[#This Row],[Facs DB]],facs_constr_max) + tech_1_11*TblTech[[#This Row],[1-11]] + tech_6_3_2*TblTech[[#This Row],[6-3]] + tech_5_2_3*TblTech[[#This Row],[5-2]], 1-global_constr_cap) * TblConstr[[#This Row],[RCPA Lumber]],0)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ROUND((MAX(TblConstr[[#This Row],[Buildings]],250,0.75*TblConstr[[#This Row],[Land]])-250) * 1.53 + 850,0)</f>
        <v>850</v>
      </c>
      <c r="AW118" s="113">
        <f ca="1">ROUND((MAX(TblConstr[[#This Row],[Buildings]],250,0.75*TblConstr[[#This Row],[Land]])-250) * 0.35+87.5,0)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44409.499999999724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44409.541666666388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9" s="113">
        <f ca="1">ROUNDDOWN( MAX(1 - MIN(facs_constr_factor*TblConstr[[#This Row],[Facs DB]],facs_constr_max) + tech_1_11*TblTech[[#This Row],[1-11]] + tech_6_3_2*TblTech[[#This Row],[6-3]] + tech_5_2_3*TblTech[[#This Row],[5-2]], 1-global_constr_cap) * TblConstr[[#This Row],[RCPA Lumber]],0)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ROUND((MAX(TblConstr[[#This Row],[Buildings]],250,0.75*TblConstr[[#This Row],[Land]])-250) * 1.53 + 850,0)</f>
        <v>850</v>
      </c>
      <c r="AW119" s="113">
        <f ca="1">ROUND((MAX(TblConstr[[#This Row],[Buildings]],250,0.75*TblConstr[[#This Row],[Land]])-250) * 0.35+87.5,0)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44409.541666666388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44409.583333333052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0" s="113">
        <f ca="1">ROUNDDOWN( MAX(1 - MIN(facs_constr_factor*TblConstr[[#This Row],[Facs DB]],facs_constr_max) + tech_1_11*TblTech[[#This Row],[1-11]] + tech_6_3_2*TblTech[[#This Row],[6-3]] + tech_5_2_3*TblTech[[#This Row],[5-2]], 1-global_constr_cap) * TblConstr[[#This Row],[RCPA Lumber]],0)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ROUND((MAX(TblConstr[[#This Row],[Buildings]],250,0.75*TblConstr[[#This Row],[Land]])-250) * 1.53 + 850,0)</f>
        <v>850</v>
      </c>
      <c r="AW120" s="113">
        <f ca="1">ROUND((MAX(TblConstr[[#This Row],[Buildings]],250,0.75*TblConstr[[#This Row],[Land]])-250) * 0.35+87.5,0)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44409.583333333052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44409.624999999716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1" s="113">
        <f ca="1">ROUNDDOWN( MAX(1 - MIN(facs_constr_factor*TblConstr[[#This Row],[Facs DB]],facs_constr_max) + tech_1_11*TblTech[[#This Row],[1-11]] + tech_6_3_2*TblTech[[#This Row],[6-3]] + tech_5_2_3*TblTech[[#This Row],[5-2]], 1-global_constr_cap) * TblConstr[[#This Row],[RCPA Lumber]],0)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ROUND((MAX(TblConstr[[#This Row],[Buildings]],250,0.75*TblConstr[[#This Row],[Land]])-250) * 1.53 + 850,0)</f>
        <v>850</v>
      </c>
      <c r="AW121" s="113">
        <f ca="1">ROUND((MAX(TblConstr[[#This Row],[Buildings]],250,0.75*TblConstr[[#This Row],[Land]])-250) * 0.35+87.5,0)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44409.624999999716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44409.66666666638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2" s="113">
        <f ca="1">ROUNDDOWN( MAX(1 - MIN(facs_constr_factor*TblConstr[[#This Row],[Facs DB]],facs_constr_max) + tech_1_11*TblTech[[#This Row],[1-11]] + tech_6_3_2*TblTech[[#This Row],[6-3]] + tech_5_2_3*TblTech[[#This Row],[5-2]], 1-global_constr_cap) * TblConstr[[#This Row],[RCPA Lumber]],0)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ROUND((MAX(TblConstr[[#This Row],[Buildings]],250,0.75*TblConstr[[#This Row],[Land]])-250) * 1.53 + 850,0)</f>
        <v>850</v>
      </c>
      <c r="AW122" s="113">
        <f ca="1">ROUND((MAX(TblConstr[[#This Row],[Buildings]],250,0.75*TblConstr[[#This Row],[Land]])-250) * 0.35+87.5,0)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44409.66666666638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44409.708333333045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3" s="113">
        <f ca="1">ROUNDDOWN( MAX(1 - MIN(facs_constr_factor*TblConstr[[#This Row],[Facs DB]],facs_constr_max) + tech_1_11*TblTech[[#This Row],[1-11]] + tech_6_3_2*TblTech[[#This Row],[6-3]] + tech_5_2_3*TblTech[[#This Row],[5-2]], 1-global_constr_cap) * TblConstr[[#This Row],[RCPA Lumber]],0)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ROUND((MAX(TblConstr[[#This Row],[Buildings]],250,0.75*TblConstr[[#This Row],[Land]])-250) * 1.53 + 850,0)</f>
        <v>850</v>
      </c>
      <c r="AW123" s="113">
        <f ca="1">ROUND((MAX(TblConstr[[#This Row],[Buildings]],250,0.75*TblConstr[[#This Row],[Land]])-250) * 0.35+87.5,0)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44409.708333333045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44409.749999999709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4" s="113">
        <f ca="1">ROUNDDOWN( MAX(1 - MIN(facs_constr_factor*TblConstr[[#This Row],[Facs DB]],facs_constr_max) + tech_1_11*TblTech[[#This Row],[1-11]] + tech_6_3_2*TblTech[[#This Row],[6-3]] + tech_5_2_3*TblTech[[#This Row],[5-2]], 1-global_constr_cap) * TblConstr[[#This Row],[RCPA Lumber]],0)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ROUND((MAX(TblConstr[[#This Row],[Buildings]],250,0.75*TblConstr[[#This Row],[Land]])-250) * 1.53 + 850,0)</f>
        <v>850</v>
      </c>
      <c r="AW124" s="113">
        <f ca="1">ROUND((MAX(TblConstr[[#This Row],[Buildings]],250,0.75*TblConstr[[#This Row],[Land]])-250) * 0.35+87.5,0)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44409.749999999709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44409.791666666373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5" s="113">
        <f ca="1">ROUNDDOWN( MAX(1 - MIN(facs_constr_factor*TblConstr[[#This Row],[Facs DB]],facs_constr_max) + tech_1_11*TblTech[[#This Row],[1-11]] + tech_6_3_2*TblTech[[#This Row],[6-3]] + tech_5_2_3*TblTech[[#This Row],[5-2]], 1-global_constr_cap) * TblConstr[[#This Row],[RCPA Lumber]],0)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ROUND((MAX(TblConstr[[#This Row],[Buildings]],250,0.75*TblConstr[[#This Row],[Land]])-250) * 1.53 + 850,0)</f>
        <v>850</v>
      </c>
      <c r="AW125" s="113">
        <f ca="1">ROUND((MAX(TblConstr[[#This Row],[Buildings]],250,0.75*TblConstr[[#This Row],[Land]])-250) * 0.35+87.5,0)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44409.791666666373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44409.833333333037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6" s="113">
        <f ca="1">ROUNDDOWN( MAX(1 - MIN(facs_constr_factor*TblConstr[[#This Row],[Facs DB]],facs_constr_max) + tech_1_11*TblTech[[#This Row],[1-11]] + tech_6_3_2*TblTech[[#This Row],[6-3]] + tech_5_2_3*TblTech[[#This Row],[5-2]], 1-global_constr_cap) * TblConstr[[#This Row],[RCPA Lumber]],0)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ROUND((MAX(TblConstr[[#This Row],[Buildings]],250,0.75*TblConstr[[#This Row],[Land]])-250) * 1.53 + 850,0)</f>
        <v>850</v>
      </c>
      <c r="AW126" s="113">
        <f ca="1">ROUND((MAX(TblConstr[[#This Row],[Buildings]],250,0.75*TblConstr[[#This Row],[Land]])-250) * 0.35+87.5,0)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44409.833333333037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44409.874999999702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7" s="113">
        <f ca="1">ROUNDDOWN( MAX(1 - MIN(facs_constr_factor*TblConstr[[#This Row],[Facs DB]],facs_constr_max) + tech_1_11*TblTech[[#This Row],[1-11]] + tech_6_3_2*TblTech[[#This Row],[6-3]] + tech_5_2_3*TblTech[[#This Row],[5-2]], 1-global_constr_cap) * TblConstr[[#This Row],[RCPA Lumber]],0)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ROUND((MAX(TblConstr[[#This Row],[Buildings]],250,0.75*TblConstr[[#This Row],[Land]])-250) * 1.53 + 850,0)</f>
        <v>850</v>
      </c>
      <c r="AW127" s="113">
        <f ca="1">ROUND((MAX(TblConstr[[#This Row],[Buildings]],250,0.75*TblConstr[[#This Row],[Land]])-250) * 0.35+87.5,0)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44409.874999999702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44409.916666666366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8" s="113">
        <f ca="1">ROUNDDOWN( MAX(1 - MIN(facs_constr_factor*TblConstr[[#This Row],[Facs DB]],facs_constr_max) + tech_1_11*TblTech[[#This Row],[1-11]] + tech_6_3_2*TblTech[[#This Row],[6-3]] + tech_5_2_3*TblTech[[#This Row],[5-2]], 1-global_constr_cap) * TblConstr[[#This Row],[RCPA Lumber]],0)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ROUND((MAX(TblConstr[[#This Row],[Buildings]],250,0.75*TblConstr[[#This Row],[Land]])-250) * 1.53 + 850,0)</f>
        <v>850</v>
      </c>
      <c r="AW128" s="113">
        <f ca="1">ROUND((MAX(TblConstr[[#This Row],[Buildings]],250,0.75*TblConstr[[#This Row],[Land]])-250) * 0.35+87.5,0)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44409.916666666366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44409.95833333303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9" s="113">
        <f ca="1">ROUNDDOWN( MAX(1 - MIN(facs_constr_factor*TblConstr[[#This Row],[Facs DB]],facs_constr_max) + tech_1_11*TblTech[[#This Row],[1-11]] + tech_6_3_2*TblTech[[#This Row],[6-3]] + tech_5_2_3*TblTech[[#This Row],[5-2]], 1-global_constr_cap) * TblConstr[[#This Row],[RCPA Lumber]],0)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ROUND((MAX(TblConstr[[#This Row],[Buildings]],250,0.75*TblConstr[[#This Row],[Land]])-250) * 1.53 + 850,0)</f>
        <v>850</v>
      </c>
      <c r="AW129" s="113">
        <f ca="1">ROUND((MAX(TblConstr[[#This Row],[Buildings]],250,0.75*TblConstr[[#This Row],[Land]])-250) * 0.35+87.5,0)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44409.95833333303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44409.999999999694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0" s="113">
        <f ca="1">ROUNDDOWN( MAX(1 - MIN(facs_constr_factor*TblConstr[[#This Row],[Facs DB]],facs_constr_max) + tech_1_11*TblTech[[#This Row],[1-11]] + tech_6_3_2*TblTech[[#This Row],[6-3]] + tech_5_2_3*TblTech[[#This Row],[5-2]], 1-global_constr_cap) * TblConstr[[#This Row],[RCPA Lumber]],0)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ROUND((MAX(TblConstr[[#This Row],[Buildings]],250,0.75*TblConstr[[#This Row],[Land]])-250) * 1.53 + 850,0)</f>
        <v>850</v>
      </c>
      <c r="AW130" s="113">
        <f ca="1">ROUND((MAX(TblConstr[[#This Row],[Buildings]],250,0.75*TblConstr[[#This Row],[Land]])-250) * 0.35+87.5,0)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44409.999999999694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44410.041666666359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1" s="113">
        <f ca="1">ROUNDDOWN( MAX(1 - MIN(facs_constr_factor*TblConstr[[#This Row],[Facs DB]],facs_constr_max) + tech_1_11*TblTech[[#This Row],[1-11]] + tech_6_3_2*TblTech[[#This Row],[6-3]] + tech_5_2_3*TblTech[[#This Row],[5-2]], 1-global_constr_cap) * TblConstr[[#This Row],[RCPA Lumber]],0)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ROUND((MAX(TblConstr[[#This Row],[Buildings]],250,0.75*TblConstr[[#This Row],[Land]])-250) * 1.53 + 850,0)</f>
        <v>850</v>
      </c>
      <c r="AW131" s="113">
        <f ca="1">ROUND((MAX(TblConstr[[#This Row],[Buildings]],250,0.75*TblConstr[[#This Row],[Land]])-250) * 0.35+87.5,0)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44410.041666666359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44410.083333333023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2" s="113">
        <f ca="1">ROUNDDOWN( MAX(1 - MIN(facs_constr_factor*TblConstr[[#This Row],[Facs DB]],facs_constr_max) + tech_1_11*TblTech[[#This Row],[1-11]] + tech_6_3_2*TblTech[[#This Row],[6-3]] + tech_5_2_3*TblTech[[#This Row],[5-2]], 1-global_constr_cap) * TblConstr[[#This Row],[RCPA Lumber]],0)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ROUND((MAX(TblConstr[[#This Row],[Buildings]],250,0.75*TblConstr[[#This Row],[Land]])-250) * 1.53 + 850,0)</f>
        <v>850</v>
      </c>
      <c r="AW132" s="113">
        <f ca="1">ROUND((MAX(TblConstr[[#This Row],[Buildings]],250,0.75*TblConstr[[#This Row],[Land]])-250) * 0.35+87.5,0)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44410.083333333023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44410.124999999687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3" s="113">
        <f ca="1">ROUNDDOWN( MAX(1 - MIN(facs_constr_factor*TblConstr[[#This Row],[Facs DB]],facs_constr_max) + tech_1_11*TblTech[[#This Row],[1-11]] + tech_6_3_2*TblTech[[#This Row],[6-3]] + tech_5_2_3*TblTech[[#This Row],[5-2]], 1-global_constr_cap) * TblConstr[[#This Row],[RCPA Lumber]],0)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ROUND((MAX(TblConstr[[#This Row],[Buildings]],250,0.75*TblConstr[[#This Row],[Land]])-250) * 1.53 + 850,0)</f>
        <v>850</v>
      </c>
      <c r="AW133" s="113">
        <f ca="1">ROUND((MAX(TblConstr[[#This Row],[Buildings]],250,0.75*TblConstr[[#This Row],[Land]])-250) * 0.35+87.5,0)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44410.124999999687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44410.166666666351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4" s="113">
        <f ca="1">ROUNDDOWN( MAX(1 - MIN(facs_constr_factor*TblConstr[[#This Row],[Facs DB]],facs_constr_max) + tech_1_11*TblTech[[#This Row],[1-11]] + tech_6_3_2*TblTech[[#This Row],[6-3]] + tech_5_2_3*TblTech[[#This Row],[5-2]], 1-global_constr_cap) * TblConstr[[#This Row],[RCPA Lumber]],0)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ROUND((MAX(TblConstr[[#This Row],[Buildings]],250,0.75*TblConstr[[#This Row],[Land]])-250) * 1.53 + 850,0)</f>
        <v>850</v>
      </c>
      <c r="AW134" s="113">
        <f ca="1">ROUND((MAX(TblConstr[[#This Row],[Buildings]],250,0.75*TblConstr[[#This Row],[Land]])-250) * 0.35+87.5,0)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44410.166666666351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44410.208333333016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5" s="113">
        <f ca="1">ROUNDDOWN( MAX(1 - MIN(facs_constr_factor*TblConstr[[#This Row],[Facs DB]],facs_constr_max) + tech_1_11*TblTech[[#This Row],[1-11]] + tech_6_3_2*TblTech[[#This Row],[6-3]] + tech_5_2_3*TblTech[[#This Row],[5-2]], 1-global_constr_cap) * TblConstr[[#This Row],[RCPA Lumber]],0)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ROUND((MAX(TblConstr[[#This Row],[Buildings]],250,0.75*TblConstr[[#This Row],[Land]])-250) * 1.53 + 850,0)</f>
        <v>850</v>
      </c>
      <c r="AW135" s="113">
        <f ca="1">ROUND((MAX(TblConstr[[#This Row],[Buildings]],250,0.75*TblConstr[[#This Row],[Land]])-250) * 0.35+87.5,0)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44410.208333333016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44410.24999999968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6" s="113">
        <f ca="1">ROUNDDOWN( MAX(1 - MIN(facs_constr_factor*TblConstr[[#This Row],[Facs DB]],facs_constr_max) + tech_1_11*TblTech[[#This Row],[1-11]] + tech_6_3_2*TblTech[[#This Row],[6-3]] + tech_5_2_3*TblTech[[#This Row],[5-2]], 1-global_constr_cap) * TblConstr[[#This Row],[RCPA Lumber]],0)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ROUND((MAX(TblConstr[[#This Row],[Buildings]],250,0.75*TblConstr[[#This Row],[Land]])-250) * 1.53 + 850,0)</f>
        <v>850</v>
      </c>
      <c r="AW136" s="113">
        <f ca="1">ROUND((MAX(TblConstr[[#This Row],[Buildings]],250,0.75*TblConstr[[#This Row],[Land]])-250) * 0.35+87.5,0)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44410.24999999968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1" t="s">
        <v>327</v>
      </c>
      <c r="B1269" s="551"/>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5" priority="67" stopIfTrue="1">
      <formula>XEZ137&lt;0</formula>
    </cfRule>
  </conditionalFormatting>
  <conditionalFormatting sqref="A137:D1268 A1271:D65537 F1271:H65537 F137:H1268">
    <cfRule type="expression" dxfId="714" priority="68" stopIfTrue="1">
      <formula>XEV137&lt;0</formula>
    </cfRule>
  </conditionalFormatting>
  <conditionalFormatting sqref="E1271:E65537 E137:E1268">
    <cfRule type="expression" dxfId="713" priority="69" stopIfTrue="1">
      <formula>XEU137&lt;0</formula>
    </cfRule>
  </conditionalFormatting>
  <conditionalFormatting sqref="DI1271:DJ52023 O1271:AG52052 O137:AG1268 BV1271:DH52052 BV137:DJ1268">
    <cfRule type="expression" dxfId="712" priority="70" stopIfTrue="1">
      <formula>ROW()-2=#REF!</formula>
    </cfRule>
  </conditionalFormatting>
  <conditionalFormatting sqref="A1269:AG1270 BV1269:DJ1270">
    <cfRule type="expression" dxfId="711" priority="71" stopIfTrue="1">
      <formula>$A$1270&gt;144</formula>
    </cfRule>
  </conditionalFormatting>
  <conditionalFormatting sqref="K1271:L65537 K137:L1268">
    <cfRule type="expression" dxfId="710" priority="89" stopIfTrue="1">
      <formula>A137&lt;0</formula>
    </cfRule>
  </conditionalFormatting>
  <conditionalFormatting sqref="AY4:BQ136">
    <cfRule type="expression" dxfId="709" priority="1" stopIfTrue="1">
      <formula>OR(AY4&lt;0,ROW()-3=$A$1270)</formula>
    </cfRule>
  </conditionalFormatting>
  <conditionalFormatting sqref="I1271:J65537 I137:J1268">
    <cfRule type="expression" dxfId="708" priority="92" stopIfTrue="1">
      <formula>A137&lt;0</formula>
    </cfRule>
  </conditionalFormatting>
  <conditionalFormatting sqref="A4:DJ136">
    <cfRule type="expression" dxfId="707" priority="7" stopIfTrue="1">
      <formula>ROW()-3=$A$1270</formula>
    </cfRule>
    <cfRule type="expression" dxfId="706" priority="130">
      <formula>$A4=73</formula>
    </cfRule>
    <cfRule type="expression" dxfId="705" priority="131">
      <formula>ROUND(($A4-1)/12,0)=INT($A4-1)/12</formula>
    </cfRule>
  </conditionalFormatting>
  <conditionalFormatting sqref="A1:XFD3">
    <cfRule type="expression" dxfId="704"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L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3" t="s">
        <v>312</v>
      </c>
      <c r="M1" s="541"/>
      <c r="N1" s="541"/>
      <c r="O1" s="541"/>
      <c r="P1" s="541"/>
      <c r="Q1" s="541"/>
      <c r="R1" s="174"/>
      <c r="S1" s="90" t="s">
        <v>366</v>
      </c>
      <c r="T1" s="90" t="s">
        <v>187</v>
      </c>
      <c r="AB1" s="592" t="s">
        <v>77</v>
      </c>
      <c r="AC1" s="592"/>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801</v>
      </c>
      <c r="D3" s="176" t="s">
        <v>55</v>
      </c>
      <c r="E3" s="176" t="s">
        <v>58</v>
      </c>
      <c r="F3" s="176" t="s">
        <v>1062</v>
      </c>
      <c r="G3" s="176" t="s">
        <v>59</v>
      </c>
      <c r="H3" s="176" t="s">
        <v>60</v>
      </c>
      <c r="I3" s="176" t="s">
        <v>61</v>
      </c>
      <c r="J3" s="176" t="s">
        <v>62</v>
      </c>
      <c r="K3" s="277" t="s">
        <v>910</v>
      </c>
      <c r="L3" s="277" t="s">
        <v>911</v>
      </c>
      <c r="M3" s="277" t="s">
        <v>912</v>
      </c>
      <c r="N3" s="278" t="s">
        <v>195</v>
      </c>
      <c r="O3" s="278" t="s">
        <v>376</v>
      </c>
      <c r="P3" s="278" t="s">
        <v>375</v>
      </c>
      <c r="Q3" s="176" t="s">
        <v>914</v>
      </c>
      <c r="R3" s="176" t="s">
        <v>887</v>
      </c>
      <c r="S3" s="176" t="s">
        <v>915</v>
      </c>
      <c r="T3" s="176" t="s">
        <v>1055</v>
      </c>
      <c r="U3" s="176" t="s">
        <v>1056</v>
      </c>
      <c r="V3" s="176" t="s">
        <v>1057</v>
      </c>
      <c r="W3" s="176" t="s">
        <v>1058</v>
      </c>
      <c r="X3" s="176" t="s">
        <v>1059</v>
      </c>
      <c r="Y3" s="176" t="s">
        <v>1060</v>
      </c>
      <c r="Z3" s="176" t="s">
        <v>1061</v>
      </c>
      <c r="AA3" s="176" t="s">
        <v>322</v>
      </c>
      <c r="AB3" s="176" t="s">
        <v>24</v>
      </c>
      <c r="AC3" s="176" t="s">
        <v>2</v>
      </c>
      <c r="AD3" s="176" t="s">
        <v>802</v>
      </c>
      <c r="AE3" s="176" t="s">
        <v>525</v>
      </c>
      <c r="AF3" s="176" t="s">
        <v>57</v>
      </c>
      <c r="AG3" s="176" t="s">
        <v>189</v>
      </c>
      <c r="AH3" s="176" t="s">
        <v>913</v>
      </c>
      <c r="AI3" s="176" t="s">
        <v>900</v>
      </c>
      <c r="AJ3" s="279" t="s">
        <v>789</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44404.75</v>
      </c>
      <c r="AB4" s="113">
        <f ca="1">TblMili[[#This Row],[Draftees]]</f>
        <v>100</v>
      </c>
      <c r="AC4" s="113">
        <f ca="1">TblProd[[#This Row],[Platinum]]</f>
        <v>100000</v>
      </c>
      <c r="AD4" s="281"/>
      <c r="AE4" s="49">
        <f ca="1">TblExplore[[#This Row],[Land]]-TblExplore[[#This Row],[Land Bonus]]*20</f>
        <v>250</v>
      </c>
      <c r="AF4" s="113">
        <f ca="1">ROUND(IF(TblExplore[[#This Row],[Land-DB]] &gt;= 300, 1000 + 3*((TblExplore[[#This Row],[Land-DB]]-300)^(MAX(MIN(TblExplore[[#This Row],[Land-DB]]^0.0185/1.05,1.121),1.09))), 1000 - (3 * (300-TblExplore[[#This Row],[Land-DB]])))*(1+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44404.791666666664</v>
      </c>
      <c r="AB5" s="113">
        <f ca="1">TblMili[[#This Row],[Draftees]]</f>
        <v>113</v>
      </c>
      <c r="AC5" s="113">
        <f ca="1">TblProd[[#This Row],[Platinum]]</f>
        <v>104860</v>
      </c>
      <c r="AD5" s="281"/>
      <c r="AE5" s="49">
        <f ca="1">TblExplore[[#This Row],[Land]]-TblExplore[[#This Row],[Land Bonus]]*20</f>
        <v>250</v>
      </c>
      <c r="AF5" s="113">
        <f ca="1">ROUND(IF(TblExplore[[#This Row],[Land-DB]] &gt;= 300, 1000 + 3*((TblExplore[[#This Row],[Land-DB]]-300)^(MAX(MIN(TblExplore[[#This Row],[Land-DB]]^0.0185/1.05,1.121),1.09))), 1000 - (3 * (300-TblExplore[[#This Row],[Land-DB]])))*(1+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44404.833333333328</v>
      </c>
      <c r="AB6" s="113">
        <f ca="1">TblMili[[#This Row],[Draftees]]</f>
        <v>126</v>
      </c>
      <c r="AC6" s="113">
        <f ca="1">TblProd[[#This Row],[Platinum]]</f>
        <v>109790</v>
      </c>
      <c r="AD6" s="281"/>
      <c r="AE6" s="49">
        <f ca="1">TblExplore[[#This Row],[Land]]-TblExplore[[#This Row],[Land Bonus]]*20</f>
        <v>250</v>
      </c>
      <c r="AF6" s="113">
        <f ca="1">ROUND(IF(TblExplore[[#This Row],[Land-DB]] &gt;= 300, 1000 + 3*((TblExplore[[#This Row],[Land-DB]]-300)^(MAX(MIN(TblExplore[[#This Row],[Land-DB]]^0.0185/1.05,1.121),1.09))), 1000 - (3 * (300-TblExplore[[#This Row],[Land-DB]])))*(1+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44404.874999999993</v>
      </c>
      <c r="AB7" s="113">
        <f ca="1">TblMili[[#This Row],[Draftees]]</f>
        <v>140</v>
      </c>
      <c r="AC7" s="113">
        <f ca="1">TblProd[[#This Row],[Platinum]]</f>
        <v>114790</v>
      </c>
      <c r="AD7" s="281"/>
      <c r="AE7" s="49">
        <f ca="1">TblExplore[[#This Row],[Land]]-TblExplore[[#This Row],[Land Bonus]]*20</f>
        <v>250</v>
      </c>
      <c r="AF7" s="113">
        <f ca="1">ROUND(IF(TblExplore[[#This Row],[Land-DB]] &gt;= 300, 1000 + 3*((TblExplore[[#This Row],[Land-DB]]-300)^(MAX(MIN(TblExplore[[#This Row],[Land-DB]]^0.0185/1.05,1.121),1.09))), 1000 - (3 * (300-TblExplore[[#This Row],[Land-DB]])))*(1+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44404.916666666657</v>
      </c>
      <c r="AB8" s="113">
        <f ca="1">TblMili[[#This Row],[Draftees]]</f>
        <v>154</v>
      </c>
      <c r="AC8" s="113">
        <f ca="1">TblProd[[#This Row],[Platinum]]</f>
        <v>119860</v>
      </c>
      <c r="AD8" s="281"/>
      <c r="AE8" s="49">
        <f ca="1">TblExplore[[#This Row],[Land]]-TblExplore[[#This Row],[Land Bonus]]*20</f>
        <v>250</v>
      </c>
      <c r="AF8" s="113">
        <f ca="1">ROUND(IF(TblExplore[[#This Row],[Land-DB]] &gt;= 300, 1000 + 3*((TblExplore[[#This Row],[Land-DB]]-300)^(MAX(MIN(TblExplore[[#This Row],[Land-DB]]^0.0185/1.05,1.121),1.09))), 1000 - (3 * (300-TblExplore[[#This Row],[Land-DB]])))*(1+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44404.958333333321</v>
      </c>
      <c r="AB9" s="113">
        <f ca="1">TblMili[[#This Row],[Draftees]]</f>
        <v>168</v>
      </c>
      <c r="AC9" s="113">
        <f ca="1">TblProd[[#This Row],[Platinum]]</f>
        <v>125003</v>
      </c>
      <c r="AD9" s="281"/>
      <c r="AE9" s="49">
        <f ca="1">TblExplore[[#This Row],[Land]]-TblExplore[[#This Row],[Land Bonus]]*20</f>
        <v>250</v>
      </c>
      <c r="AF9" s="113">
        <f ca="1">ROUND(IF(TblExplore[[#This Row],[Land-DB]] &gt;= 300, 1000 + 3*((TblExplore[[#This Row],[Land-DB]]-300)^(MAX(MIN(TblExplore[[#This Row],[Land-DB]]^0.0185/1.05,1.121),1.09))), 1000 - (3 * (300-TblExplore[[#This Row],[Land-DB]])))*(1+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44404.999999999985</v>
      </c>
      <c r="AB10" s="113">
        <f ca="1">TblMili[[#This Row],[Draftees]]</f>
        <v>182</v>
      </c>
      <c r="AC10" s="113">
        <f ca="1">TblProd[[#This Row],[Platinum]]</f>
        <v>130222</v>
      </c>
      <c r="AD10" s="281"/>
      <c r="AE10" s="49">
        <f ca="1">TblExplore[[#This Row],[Land]]-TblExplore[[#This Row],[Land Bonus]]*20</f>
        <v>250</v>
      </c>
      <c r="AF10" s="113">
        <f ca="1">ROUND(IF(TblExplore[[#This Row],[Land-DB]] &gt;= 300, 1000 + 3*((TblExplore[[#This Row],[Land-DB]]-300)^(MAX(MIN(TblExplore[[#This Row],[Land-DB]]^0.0185/1.05,1.121),1.09))), 1000 - (3 * (300-TblExplore[[#This Row],[Land-DB]])))*(1+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44405.04166666665</v>
      </c>
      <c r="AB11" s="113">
        <f ca="1">TblMili[[#This Row],[Draftees]]</f>
        <v>197</v>
      </c>
      <c r="AC11" s="113">
        <f ca="1">TblProd[[#This Row],[Platinum]]</f>
        <v>135519</v>
      </c>
      <c r="AD11" s="281"/>
      <c r="AE11" s="49">
        <f ca="1">TblExplore[[#This Row],[Land]]-TblExplore[[#This Row],[Land Bonus]]*20</f>
        <v>250</v>
      </c>
      <c r="AF11" s="113">
        <f ca="1">ROUND(IF(TblExplore[[#This Row],[Land-DB]] &gt;= 300, 1000 + 3*((TblExplore[[#This Row],[Land-DB]]-300)^(MAX(MIN(TblExplore[[#This Row],[Land-DB]]^0.0185/1.05,1.121),1.09))), 1000 - (3 * (300-TblExplore[[#This Row],[Land-DB]])))*(1+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44405.083333333314</v>
      </c>
      <c r="AB12" s="113">
        <f ca="1">TblMili[[#This Row],[Draftees]]</f>
        <v>212</v>
      </c>
      <c r="AC12" s="113">
        <f ca="1">TblProd[[#This Row],[Platinum]]</f>
        <v>140892</v>
      </c>
      <c r="AD12" s="281"/>
      <c r="AE12" s="49">
        <f ca="1">TblExplore[[#This Row],[Land]]-TblExplore[[#This Row],[Land Bonus]]*20</f>
        <v>250</v>
      </c>
      <c r="AF12" s="113">
        <f ca="1">ROUND(IF(TblExplore[[#This Row],[Land-DB]] &gt;= 300, 1000 + 3*((TblExplore[[#This Row],[Land-DB]]-300)^(MAX(MIN(TblExplore[[#This Row],[Land-DB]]^0.0185/1.05,1.121),1.09))), 1000 - (3 * (300-TblExplore[[#This Row],[Land-DB]])))*(1+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44405.124999999978</v>
      </c>
      <c r="AB13" s="113">
        <f ca="1">TblMili[[#This Row],[Draftees]]</f>
        <v>227</v>
      </c>
      <c r="AC13" s="113">
        <f ca="1">TblProd[[#This Row],[Platinum]]</f>
        <v>146343</v>
      </c>
      <c r="AD13" s="281"/>
      <c r="AE13" s="49">
        <f ca="1">TblExplore[[#This Row],[Land]]-TblExplore[[#This Row],[Land Bonus]]*20</f>
        <v>250</v>
      </c>
      <c r="AF13" s="113">
        <f ca="1">ROUND(IF(TblExplore[[#This Row],[Land-DB]] &gt;= 300, 1000 + 3*((TblExplore[[#This Row],[Land-DB]]-300)^(MAX(MIN(TblExplore[[#This Row],[Land-DB]]^0.0185/1.05,1.121),1.09))), 1000 - (3 * (300-TblExplore[[#This Row],[Land-DB]])))*(1+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44405.166666666642</v>
      </c>
      <c r="AB14" s="113">
        <f ca="1">TblMili[[#This Row],[Draftees]]</f>
        <v>242</v>
      </c>
      <c r="AC14" s="113">
        <f ca="1">TblProd[[#This Row],[Platinum]]</f>
        <v>151875</v>
      </c>
      <c r="AD14" s="281"/>
      <c r="AE14" s="49">
        <f ca="1">TblExplore[[#This Row],[Land]]-TblExplore[[#This Row],[Land Bonus]]*20</f>
        <v>250</v>
      </c>
      <c r="AF14" s="113">
        <f ca="1">ROUND(IF(TblExplore[[#This Row],[Land-DB]] &gt;= 300, 1000 + 3*((TblExplore[[#This Row],[Land-DB]]-300)^(MAX(MIN(TblExplore[[#This Row],[Land-DB]]^0.0185/1.05,1.121),1.09))), 1000 - (3 * (300-TblExplore[[#This Row],[Land-DB]])))*(1+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44405.208333333307</v>
      </c>
      <c r="AB15" s="113">
        <f ca="1">TblMili[[#This Row],[Draftees]]</f>
        <v>258</v>
      </c>
      <c r="AC15" s="113">
        <f ca="1">TblProd[[#This Row],[Platinum]]</f>
        <v>157491</v>
      </c>
      <c r="AD15" s="281"/>
      <c r="AE15" s="49">
        <f ca="1">TblExplore[[#This Row],[Land]]-TblExplore[[#This Row],[Land Bonus]]*20</f>
        <v>250</v>
      </c>
      <c r="AF15" s="113">
        <f ca="1">ROUND(IF(TblExplore[[#This Row],[Land-DB]] &gt;= 300, 1000 + 3*((TblExplore[[#This Row],[Land-DB]]-300)^(MAX(MIN(TblExplore[[#This Row],[Land-DB]]^0.0185/1.05,1.121),1.09))), 1000 - (3 * (300-TblExplore[[#This Row],[Land-DB]])))*(1+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393</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44405.249999999971</v>
      </c>
      <c r="AB16" s="113">
        <f ca="1">TblMili[[#This Row],[Draftees]]</f>
        <v>274</v>
      </c>
      <c r="AC16" s="113">
        <f ca="1">TblProd[[#This Row],[Platinum]]</f>
        <v>163161</v>
      </c>
      <c r="AD16" s="281"/>
      <c r="AE16" s="49">
        <f ca="1">TblExplore[[#This Row],[Land]]-TblExplore[[#This Row],[Land Bonus]]*20</f>
        <v>250</v>
      </c>
      <c r="AF16" s="113">
        <f ca="1">ROUND(IF(TblExplore[[#This Row],[Land-DB]] &gt;= 300, 1000 + 3*((TblExplore[[#This Row],[Land-DB]]-300)^(MAX(MIN(TblExplore[[#This Row],[Land-DB]]^0.0185/1.05,1.121),1.09))), 1000 - (3 * (300-TblExplore[[#This Row],[Land-DB]])))*(1+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380</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44405.291666666635</v>
      </c>
      <c r="AB17" s="113">
        <f ca="1">TblMili[[#This Row],[Draftees]]</f>
        <v>290</v>
      </c>
      <c r="AC17" s="113">
        <f ca="1">TblProd[[#This Row],[Platinum]]</f>
        <v>168831</v>
      </c>
      <c r="AD17" s="281"/>
      <c r="AE17" s="49">
        <f ca="1">TblExplore[[#This Row],[Land]]-TblExplore[[#This Row],[Land Bonus]]*20</f>
        <v>250</v>
      </c>
      <c r="AF17" s="113">
        <f ca="1">ROUND(IF(TblExplore[[#This Row],[Land-DB]] &gt;= 300, 1000 + 3*((TblExplore[[#This Row],[Land-DB]]-300)^(MAX(MIN(TblExplore[[#This Row],[Land-DB]]^0.0185/1.05,1.121),1.09))), 1000 - (3 * (300-TblExplore[[#This Row],[Land-DB]])))*(1+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379</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44405.333333333299</v>
      </c>
      <c r="AB18" s="113">
        <f ca="1">TblMili[[#This Row],[Draftees]]</f>
        <v>307</v>
      </c>
      <c r="AC18" s="113">
        <f ca="1">TblProd[[#This Row],[Platinum]]</f>
        <v>174501</v>
      </c>
      <c r="AD18" s="281"/>
      <c r="AE18" s="49">
        <f ca="1">TblExplore[[#This Row],[Land]]-TblExplore[[#This Row],[Land Bonus]]*20</f>
        <v>250</v>
      </c>
      <c r="AF18" s="113">
        <f ca="1">ROUND(IF(TblExplore[[#This Row],[Land-DB]] &gt;= 300, 1000 + 3*((TblExplore[[#This Row],[Land-DB]]-300)^(MAX(MIN(TblExplore[[#This Row],[Land-DB]]^0.0185/1.05,1.121),1.09))), 1000 - (3 * (300-TblExplore[[#This Row],[Land-DB]])))*(1+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377</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44405.374999999964</v>
      </c>
      <c r="AB19" s="113">
        <f ca="1">TblMili[[#This Row],[Draftees]]</f>
        <v>324</v>
      </c>
      <c r="AC19" s="113">
        <f ca="1">TblProd[[#This Row],[Platinum]]</f>
        <v>180171</v>
      </c>
      <c r="AD19" s="281"/>
      <c r="AE19" s="49">
        <f ca="1">TblExplore[[#This Row],[Land]]-TblExplore[[#This Row],[Land Bonus]]*20</f>
        <v>250</v>
      </c>
      <c r="AF19" s="113">
        <f ca="1">ROUND(IF(TblExplore[[#This Row],[Land-DB]] &gt;= 300, 1000 + 3*((TblExplore[[#This Row],[Land-DB]]-300)^(MAX(MIN(TblExplore[[#This Row],[Land-DB]]^0.0185/1.05,1.121),1.09))), 1000 - (3 * (300-TblExplore[[#This Row],[Land-DB]])))*(1+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378</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44405.416666666628</v>
      </c>
      <c r="AB20" s="113">
        <f ca="1">TblMili[[#This Row],[Draftees]]</f>
        <v>341</v>
      </c>
      <c r="AC20" s="113">
        <f ca="1">TblProd[[#This Row],[Platinum]]</f>
        <v>185841</v>
      </c>
      <c r="AD20" s="281"/>
      <c r="AE20" s="49">
        <f ca="1">TblExplore[[#This Row],[Land]]-TblExplore[[#This Row],[Land Bonus]]*20</f>
        <v>250</v>
      </c>
      <c r="AF20" s="113">
        <f ca="1">ROUND(IF(TblExplore[[#This Row],[Land-DB]] &gt;= 300, 1000 + 3*((TblExplore[[#This Row],[Land-DB]]-300)^(MAX(MIN(TblExplore[[#This Row],[Land-DB]]^0.0185/1.05,1.121),1.09))), 1000 - (3 * (300-TblExplore[[#This Row],[Land-DB]])))*(1+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44405.458333333292</v>
      </c>
      <c r="AB21" s="113">
        <f ca="1">TblMili[[#This Row],[Draftees]]</f>
        <v>359</v>
      </c>
      <c r="AC21" s="113">
        <f ca="1">TblProd[[#This Row],[Platinum]]</f>
        <v>191511</v>
      </c>
      <c r="AD21" s="281"/>
      <c r="AE21" s="49">
        <f ca="1">TblExplore[[#This Row],[Land]]-TblExplore[[#This Row],[Land Bonus]]*20</f>
        <v>250</v>
      </c>
      <c r="AF21" s="113">
        <f ca="1">ROUND(IF(TblExplore[[#This Row],[Land-DB]] &gt;= 300, 1000 + 3*((TblExplore[[#This Row],[Land-DB]]-300)^(MAX(MIN(TblExplore[[#This Row],[Land-DB]]^0.0185/1.05,1.121),1.09))), 1000 - (3 * (300-TblExplore[[#This Row],[Land-DB]])))*(1+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44405.499999999956</v>
      </c>
      <c r="AB22" s="113">
        <f ca="1">TblMili[[#This Row],[Draftees]]</f>
        <v>377</v>
      </c>
      <c r="AC22" s="113">
        <f ca="1">TblProd[[#This Row],[Platinum]]</f>
        <v>197181</v>
      </c>
      <c r="AD22" s="281"/>
      <c r="AE22" s="49">
        <f ca="1">TblExplore[[#This Row],[Land]]-TblExplore[[#This Row],[Land Bonus]]*20</f>
        <v>250</v>
      </c>
      <c r="AF22" s="113">
        <f ca="1">ROUND(IF(TblExplore[[#This Row],[Land-DB]] &gt;= 300, 1000 + 3*((TblExplore[[#This Row],[Land-DB]]-300)^(MAX(MIN(TblExplore[[#This Row],[Land-DB]]^0.0185/1.05,1.121),1.09))), 1000 - (3 * (300-TblExplore[[#This Row],[Land-DB]])))*(1+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44405.541666666621</v>
      </c>
      <c r="AB23" s="113">
        <f ca="1">TblMili[[#This Row],[Draftees]]</f>
        <v>395</v>
      </c>
      <c r="AC23" s="113">
        <f ca="1">TblProd[[#This Row],[Platinum]]</f>
        <v>202851</v>
      </c>
      <c r="AD23" s="281"/>
      <c r="AE23" s="49">
        <f ca="1">TblExplore[[#This Row],[Land]]-TblExplore[[#This Row],[Land Bonus]]*20</f>
        <v>250</v>
      </c>
      <c r="AF23" s="113">
        <f ca="1">ROUND(IF(TblExplore[[#This Row],[Land-DB]] &gt;= 300, 1000 + 3*((TblExplore[[#This Row],[Land-DB]]-300)^(MAX(MIN(TblExplore[[#This Row],[Land-DB]]^0.0185/1.05,1.121),1.09))), 1000 - (3 * (300-TblExplore[[#This Row],[Land-DB]])))*(1+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44405.583333333285</v>
      </c>
      <c r="AB24" s="113">
        <f ca="1">TblMili[[#This Row],[Draftees]]</f>
        <v>413</v>
      </c>
      <c r="AC24" s="113">
        <f ca="1">TblProd[[#This Row],[Platinum]]</f>
        <v>208521</v>
      </c>
      <c r="AD24" s="281"/>
      <c r="AE24" s="49">
        <f ca="1">TblExplore[[#This Row],[Land]]-TblExplore[[#This Row],[Land Bonus]]*20</f>
        <v>250</v>
      </c>
      <c r="AF24" s="113">
        <f ca="1">ROUND(IF(TblExplore[[#This Row],[Land-DB]] &gt;= 300, 1000 + 3*((TblExplore[[#This Row],[Land-DB]]-300)^(MAX(MIN(TblExplore[[#This Row],[Land-DB]]^0.0185/1.05,1.121),1.09))), 1000 - (3 * (300-TblExplore[[#This Row],[Land-DB]])))*(1+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394</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44405.624999999949</v>
      </c>
      <c r="AB25" s="113">
        <f ca="1">TblMili[[#This Row],[Draftees]]</f>
        <v>430</v>
      </c>
      <c r="AC25" s="113">
        <f ca="1">TblProd[[#This Row],[Platinum]]</f>
        <v>214191</v>
      </c>
      <c r="AD25" s="281"/>
      <c r="AE25" s="49">
        <f ca="1">TblExplore[[#This Row],[Land]]-TblExplore[[#This Row],[Land Bonus]]*20</f>
        <v>250</v>
      </c>
      <c r="AF25" s="113">
        <f ca="1">ROUND(IF(TblExplore[[#This Row],[Land-DB]] &gt;= 300, 1000 + 3*((TblExplore[[#This Row],[Land-DB]]-300)^(MAX(MIN(TblExplore[[#This Row],[Land-DB]]^0.0185/1.05,1.121),1.09))), 1000 - (3 * (300-TblExplore[[#This Row],[Land-DB]])))*(1+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380</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44405.666666666613</v>
      </c>
      <c r="AB26" s="113">
        <f ca="1">TblMili[[#This Row],[Draftees]]</f>
        <v>447</v>
      </c>
      <c r="AC26" s="113">
        <f ca="1">TblProd[[#This Row],[Platinum]]</f>
        <v>219861</v>
      </c>
      <c r="AD26" s="281"/>
      <c r="AE26" s="49">
        <f ca="1">TblExplore[[#This Row],[Land]]-TblExplore[[#This Row],[Land Bonus]]*20</f>
        <v>250</v>
      </c>
      <c r="AF26" s="113">
        <f ca="1">ROUND(IF(TblExplore[[#This Row],[Land-DB]] &gt;= 300, 1000 + 3*((TblExplore[[#This Row],[Land-DB]]-300)^(MAX(MIN(TblExplore[[#This Row],[Land-DB]]^0.0185/1.05,1.121),1.09))), 1000 - (3 * (300-TblExplore[[#This Row],[Land-DB]])))*(1+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379</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44405.708333333278</v>
      </c>
      <c r="AB27" s="113">
        <f ca="1">TblMili[[#This Row],[Draftees]]</f>
        <v>464</v>
      </c>
      <c r="AC27" s="113">
        <f ca="1">TblProd[[#This Row],[Platinum]]</f>
        <v>225531</v>
      </c>
      <c r="AD27" s="281"/>
      <c r="AE27" s="49">
        <f ca="1">TblExplore[[#This Row],[Land]]-TblExplore[[#This Row],[Land Bonus]]*20</f>
        <v>250</v>
      </c>
      <c r="AF27" s="113">
        <f ca="1">ROUND(IF(TblExplore[[#This Row],[Land-DB]] &gt;= 300, 1000 + 3*((TblExplore[[#This Row],[Land-DB]]-300)^(MAX(MIN(TblExplore[[#This Row],[Land-DB]]^0.0185/1.05,1.121),1.09))), 1000 - (3 * (300-TblExplore[[#This Row],[Land-DB]])))*(1+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377</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44405.749999999942</v>
      </c>
      <c r="AB28" s="113">
        <f ca="1">TblMili[[#This Row],[Draftees]]</f>
        <v>481</v>
      </c>
      <c r="AC28" s="113">
        <f ca="1">TblProd[[#This Row],[Platinum]]</f>
        <v>231201</v>
      </c>
      <c r="AD28" s="281"/>
      <c r="AE28" s="49">
        <f ca="1">TblExplore[[#This Row],[Land]]-TblExplore[[#This Row],[Land Bonus]]*20</f>
        <v>250</v>
      </c>
      <c r="AF28" s="113">
        <f ca="1">ROUND(IF(TblExplore[[#This Row],[Land-DB]] &gt;= 300, 1000 + 3*((TblExplore[[#This Row],[Land-DB]]-300)^(MAX(MIN(TblExplore[[#This Row],[Land-DB]]^0.0185/1.05,1.121),1.09))), 1000 - (3 * (300-TblExplore[[#This Row],[Land-DB]])))*(1+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378</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44405.791666666606</v>
      </c>
      <c r="AB29" s="113">
        <f ca="1">TblMili[[#This Row],[Draftees]]</f>
        <v>498</v>
      </c>
      <c r="AC29" s="113">
        <f ca="1">TblProd[[#This Row],[Platinum]]</f>
        <v>236871</v>
      </c>
      <c r="AD29" s="281"/>
      <c r="AE29" s="49">
        <f ca="1">TblExplore[[#This Row],[Land]]-TblExplore[[#This Row],[Land Bonus]]*20</f>
        <v>250</v>
      </c>
      <c r="AF29" s="113">
        <f ca="1">ROUND(IF(TblExplore[[#This Row],[Land-DB]] &gt;= 300, 1000 + 3*((TblExplore[[#This Row],[Land-DB]]-300)^(MAX(MIN(TblExplore[[#This Row],[Land-DB]]^0.0185/1.05,1.121),1.09))), 1000 - (3 * (300-TblExplore[[#This Row],[Land-DB]])))*(1+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44405.83333333327</v>
      </c>
      <c r="AB30" s="113">
        <f ca="1">TblMili[[#This Row],[Draftees]]</f>
        <v>515</v>
      </c>
      <c r="AC30" s="113">
        <f ca="1">TblProd[[#This Row],[Platinum]]</f>
        <v>242541</v>
      </c>
      <c r="AD30" s="281"/>
      <c r="AE30" s="49">
        <f ca="1">TblExplore[[#This Row],[Land]]-TblExplore[[#This Row],[Land Bonus]]*20</f>
        <v>250</v>
      </c>
      <c r="AF30" s="113">
        <f ca="1">ROUND(IF(TblExplore[[#This Row],[Land-DB]] &gt;= 300, 1000 + 3*((TblExplore[[#This Row],[Land-DB]]-300)^(MAX(MIN(TblExplore[[#This Row],[Land-DB]]^0.0185/1.05,1.121),1.09))), 1000 - (3 * (300-TblExplore[[#This Row],[Land-DB]])))*(1+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44405.874999999935</v>
      </c>
      <c r="AB31" s="113">
        <f ca="1">TblMili[[#This Row],[Draftees]]</f>
        <v>531</v>
      </c>
      <c r="AC31" s="113">
        <f ca="1">TblProd[[#This Row],[Platinum]]</f>
        <v>248211</v>
      </c>
      <c r="AD31" s="281"/>
      <c r="AE31" s="49">
        <f ca="1">TblExplore[[#This Row],[Land]]-TblExplore[[#This Row],[Land Bonus]]*20</f>
        <v>250</v>
      </c>
      <c r="AF31" s="113">
        <f ca="1">ROUND(IF(TblExplore[[#This Row],[Land-DB]] &gt;= 300, 1000 + 3*((TblExplore[[#This Row],[Land-DB]]-300)^(MAX(MIN(TblExplore[[#This Row],[Land-DB]]^0.0185/1.05,1.121),1.09))), 1000 - (3 * (300-TblExplore[[#This Row],[Land-DB]])))*(1+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44405.916666666599</v>
      </c>
      <c r="AB32" s="113">
        <f ca="1">TblMili[[#This Row],[Draftees]]</f>
        <v>547</v>
      </c>
      <c r="AC32" s="113">
        <f ca="1">TblProd[[#This Row],[Platinum]]</f>
        <v>253881</v>
      </c>
      <c r="AD32" s="281"/>
      <c r="AE32" s="49">
        <f ca="1">TblExplore[[#This Row],[Land]]-TblExplore[[#This Row],[Land Bonus]]*20</f>
        <v>250</v>
      </c>
      <c r="AF32" s="113">
        <f ca="1">ROUND(IF(TblExplore[[#This Row],[Land-DB]] &gt;= 300, 1000 + 3*((TblExplore[[#This Row],[Land-DB]]-300)^(MAX(MIN(TblExplore[[#This Row],[Land-DB]]^0.0185/1.05,1.121),1.09))), 1000 - (3 * (300-TblExplore[[#This Row],[Land-DB]])))*(1+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44405.958333333263</v>
      </c>
      <c r="AB33" s="113">
        <f ca="1">TblMili[[#This Row],[Draftees]]</f>
        <v>563</v>
      </c>
      <c r="AC33" s="113">
        <f ca="1">TblProd[[#This Row],[Platinum]]</f>
        <v>259551</v>
      </c>
      <c r="AD33" s="281"/>
      <c r="AE33" s="49">
        <f ca="1">TblExplore[[#This Row],[Land]]-TblExplore[[#This Row],[Land Bonus]]*20</f>
        <v>250</v>
      </c>
      <c r="AF33" s="113">
        <f ca="1">ROUND(IF(TblExplore[[#This Row],[Land-DB]] &gt;= 300, 1000 + 3*((TblExplore[[#This Row],[Land-DB]]-300)^(MAX(MIN(TblExplore[[#This Row],[Land-DB]]^0.0185/1.05,1.121),1.09))), 1000 - (3 * (300-TblExplore[[#This Row],[Land-DB]])))*(1+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44405.999999999927</v>
      </c>
      <c r="AB34" s="113">
        <f ca="1">TblMili[[#This Row],[Draftees]]</f>
        <v>579</v>
      </c>
      <c r="AC34" s="113">
        <f ca="1">TblProd[[#This Row],[Platinum]]</f>
        <v>265207</v>
      </c>
      <c r="AD34" s="281"/>
      <c r="AE34" s="49">
        <f ca="1">TblExplore[[#This Row],[Land]]-TblExplore[[#This Row],[Land Bonus]]*20</f>
        <v>250</v>
      </c>
      <c r="AF34" s="113">
        <f ca="1">ROUND(IF(TblExplore[[#This Row],[Land-DB]] &gt;= 300, 1000 + 3*((TblExplore[[#This Row],[Land-DB]]-300)^(MAX(MIN(TblExplore[[#This Row],[Land-DB]]^0.0185/1.05,1.121),1.09))), 1000 - (3 * (300-TblExplore[[#This Row],[Land-DB]])))*(1+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44406.041666666591</v>
      </c>
      <c r="AB35" s="113">
        <f ca="1">TblMili[[#This Row],[Draftees]]</f>
        <v>595</v>
      </c>
      <c r="AC35" s="113">
        <f ca="1">TblProd[[#This Row],[Platinum]]</f>
        <v>270820</v>
      </c>
      <c r="AD35" s="281"/>
      <c r="AE35" s="49">
        <f ca="1">TblExplore[[#This Row],[Land]]-TblExplore[[#This Row],[Land Bonus]]*20</f>
        <v>250</v>
      </c>
      <c r="AF35" s="113">
        <f ca="1">ROUND(IF(TblExplore[[#This Row],[Land-DB]] &gt;= 300, 1000 + 3*((TblExplore[[#This Row],[Land-DB]]-300)^(MAX(MIN(TblExplore[[#This Row],[Land-DB]]^0.0185/1.05,1.121),1.09))), 1000 - (3 * (300-TblExplore[[#This Row],[Land-DB]])))*(1+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44406.083333333256</v>
      </c>
      <c r="AB36" s="113">
        <f ca="1">TblMili[[#This Row],[Draftees]]</f>
        <v>611</v>
      </c>
      <c r="AC36" s="113">
        <f ca="1">TblProd[[#This Row],[Platinum]]</f>
        <v>276390</v>
      </c>
      <c r="AD36" s="281"/>
      <c r="AE36" s="49">
        <f ca="1">TblExplore[[#This Row],[Land]]-TblExplore[[#This Row],[Land Bonus]]*20</f>
        <v>250</v>
      </c>
      <c r="AF36" s="113">
        <f ca="1">ROUND(IF(TblExplore[[#This Row],[Land-DB]] &gt;= 300, 1000 + 3*((TblExplore[[#This Row],[Land-DB]]-300)^(MAX(MIN(TblExplore[[#This Row],[Land-DB]]^0.0185/1.05,1.121),1.09))), 1000 - (3 * (300-TblExplore[[#This Row],[Land-DB]])))*(1+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44406.12499999992</v>
      </c>
      <c r="AB37" s="113">
        <f ca="1">TblMili[[#This Row],[Draftees]]</f>
        <v>626</v>
      </c>
      <c r="AC37" s="113">
        <f ca="1">TblProd[[#This Row],[Platinum]]</f>
        <v>281916</v>
      </c>
      <c r="AD37" s="281"/>
      <c r="AE37" s="49">
        <f ca="1">TblExplore[[#This Row],[Land]]-TblExplore[[#This Row],[Land Bonus]]*20</f>
        <v>250</v>
      </c>
      <c r="AF37" s="113">
        <f ca="1">ROUND(IF(TblExplore[[#This Row],[Land-DB]] &gt;= 300, 1000 + 3*((TblExplore[[#This Row],[Land-DB]]-300)^(MAX(MIN(TblExplore[[#This Row],[Land-DB]]^0.0185/1.05,1.121),1.09))), 1000 - (3 * (300-TblExplore[[#This Row],[Land-DB]])))*(1+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44406.166666666584</v>
      </c>
      <c r="AB38" s="113">
        <f ca="1">TblMili[[#This Row],[Draftees]]</f>
        <v>626</v>
      </c>
      <c r="AC38" s="113">
        <f ca="1">TblProd[[#This Row],[Platinum]]</f>
        <v>287402</v>
      </c>
      <c r="AD38" s="281"/>
      <c r="AE38" s="49">
        <f ca="1">TblExplore[[#This Row],[Land]]-TblExplore[[#This Row],[Land Bonus]]*20</f>
        <v>250</v>
      </c>
      <c r="AF38" s="113">
        <f ca="1">ROUND(IF(TblExplore[[#This Row],[Land-DB]] &gt;= 300, 1000 + 3*((TblExplore[[#This Row],[Land-DB]]-300)^(MAX(MIN(TblExplore[[#This Row],[Land-DB]]^0.0185/1.05,1.121),1.09))), 1000 - (3 * (300-TblExplore[[#This Row],[Land-DB]])))*(1+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44406.208333333248</v>
      </c>
      <c r="AB39" s="113">
        <f ca="1">TblMili[[#This Row],[Draftees]]</f>
        <v>626</v>
      </c>
      <c r="AC39" s="113">
        <f ca="1">TblProd[[#This Row],[Platinum]]</f>
        <v>292888</v>
      </c>
      <c r="AD39" s="281"/>
      <c r="AE39" s="49">
        <f ca="1">TblExplore[[#This Row],[Land]]-TblExplore[[#This Row],[Land Bonus]]*20</f>
        <v>250</v>
      </c>
      <c r="AF39" s="113">
        <f ca="1">ROUND(IF(TblExplore[[#This Row],[Land-DB]] &gt;= 300, 1000 + 3*((TblExplore[[#This Row],[Land-DB]]-300)^(MAX(MIN(TblExplore[[#This Row],[Land-DB]]^0.0185/1.05,1.121),1.09))), 1000 - (3 * (300-TblExplore[[#This Row],[Land-DB]])))*(1+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44406.249999999913</v>
      </c>
      <c r="AB40" s="113">
        <f ca="1">TblMili[[#This Row],[Draftees]]</f>
        <v>626</v>
      </c>
      <c r="AC40" s="113">
        <f ca="1">TblProd[[#This Row],[Platinum]]</f>
        <v>298374</v>
      </c>
      <c r="AD40" s="281"/>
      <c r="AE40" s="49">
        <f ca="1">TblExplore[[#This Row],[Land]]-TblExplore[[#This Row],[Land Bonus]]*20</f>
        <v>250</v>
      </c>
      <c r="AF40" s="113">
        <f ca="1">ROUND(IF(TblExplore[[#This Row],[Land-DB]] &gt;= 300, 1000 + 3*((TblExplore[[#This Row],[Land-DB]]-300)^(MAX(MIN(TblExplore[[#This Row],[Land-DB]]^0.0185/1.05,1.121),1.09))), 1000 - (3 * (300-TblExplore[[#This Row],[Land-DB]])))*(1+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44406.291666666577</v>
      </c>
      <c r="AB41" s="113">
        <f ca="1">TblMili[[#This Row],[Draftees]]</f>
        <v>626</v>
      </c>
      <c r="AC41" s="113">
        <f ca="1">TblProd[[#This Row],[Platinum]]</f>
        <v>303860</v>
      </c>
      <c r="AD41" s="281"/>
      <c r="AE41" s="49">
        <f ca="1">TblExplore[[#This Row],[Land]]-TblExplore[[#This Row],[Land Bonus]]*20</f>
        <v>250</v>
      </c>
      <c r="AF41" s="113">
        <f ca="1">ROUND(IF(TblExplore[[#This Row],[Land-DB]] &gt;= 300, 1000 + 3*((TblExplore[[#This Row],[Land-DB]]-300)^(MAX(MIN(TblExplore[[#This Row],[Land-DB]]^0.0185/1.05,1.121),1.09))), 1000 - (3 * (300-TblExplore[[#This Row],[Land-DB]])))*(1+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44406.333333333241</v>
      </c>
      <c r="AB42" s="113">
        <f ca="1">TblMili[[#This Row],[Draftees]]</f>
        <v>626</v>
      </c>
      <c r="AC42" s="113">
        <f ca="1">TblProd[[#This Row],[Platinum]]</f>
        <v>309346</v>
      </c>
      <c r="AD42" s="281"/>
      <c r="AE42" s="49">
        <f ca="1">TblExplore[[#This Row],[Land]]-TblExplore[[#This Row],[Land Bonus]]*20</f>
        <v>250</v>
      </c>
      <c r="AF42" s="113">
        <f ca="1">ROUND(IF(TblExplore[[#This Row],[Land-DB]] &gt;= 300, 1000 + 3*((TblExplore[[#This Row],[Land-DB]]-300)^(MAX(MIN(TblExplore[[#This Row],[Land-DB]]^0.0185/1.05,1.121),1.09))), 1000 - (3 * (300-TblExplore[[#This Row],[Land-DB]])))*(1+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44406.374999999905</v>
      </c>
      <c r="AB43" s="113">
        <f ca="1">TblMili[[#This Row],[Draftees]]</f>
        <v>626</v>
      </c>
      <c r="AC43" s="113">
        <f ca="1">TblProd[[#This Row],[Platinum]]</f>
        <v>314832</v>
      </c>
      <c r="AD43" s="281"/>
      <c r="AE43" s="49">
        <f ca="1">TblExplore[[#This Row],[Land]]-TblExplore[[#This Row],[Land Bonus]]*20</f>
        <v>250</v>
      </c>
      <c r="AF43" s="113">
        <f ca="1">ROUND(IF(TblExplore[[#This Row],[Land-DB]] &gt;= 300, 1000 + 3*((TblExplore[[#This Row],[Land-DB]]-300)^(MAX(MIN(TblExplore[[#This Row],[Land-DB]]^0.0185/1.05,1.121),1.09))), 1000 - (3 * (300-TblExplore[[#This Row],[Land-DB]])))*(1+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44406.41666666657</v>
      </c>
      <c r="AB44" s="113">
        <f ca="1">TblMili[[#This Row],[Draftees]]</f>
        <v>626</v>
      </c>
      <c r="AC44" s="113">
        <f ca="1">TblProd[[#This Row],[Platinum]]</f>
        <v>320318</v>
      </c>
      <c r="AD44" s="281"/>
      <c r="AE44" s="49">
        <f ca="1">TblExplore[[#This Row],[Land]]-TblExplore[[#This Row],[Land Bonus]]*20</f>
        <v>250</v>
      </c>
      <c r="AF44" s="113">
        <f ca="1">ROUND(IF(TblExplore[[#This Row],[Land-DB]] &gt;= 300, 1000 + 3*((TblExplore[[#This Row],[Land-DB]]-300)^(MAX(MIN(TblExplore[[#This Row],[Land-DB]]^0.0185/1.05,1.121),1.09))), 1000 - (3 * (300-TblExplore[[#This Row],[Land-DB]])))*(1+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44406.458333333234</v>
      </c>
      <c r="AB45" s="113">
        <f ca="1">TblMili[[#This Row],[Draftees]]</f>
        <v>626</v>
      </c>
      <c r="AC45" s="113">
        <f ca="1">TblProd[[#This Row],[Platinum]]</f>
        <v>325804</v>
      </c>
      <c r="AD45" s="281"/>
      <c r="AE45" s="49">
        <f ca="1">TblExplore[[#This Row],[Land]]-TblExplore[[#This Row],[Land Bonus]]*20</f>
        <v>250</v>
      </c>
      <c r="AF45" s="113">
        <f ca="1">ROUND(IF(TblExplore[[#This Row],[Land-DB]] &gt;= 300, 1000 + 3*((TblExplore[[#This Row],[Land-DB]]-300)^(MAX(MIN(TblExplore[[#This Row],[Land-DB]]^0.0185/1.05,1.121),1.09))), 1000 - (3 * (300-TblExplore[[#This Row],[Land-DB]])))*(1+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44406.499999999898</v>
      </c>
      <c r="AB46" s="113">
        <f ca="1">TblMili[[#This Row],[Draftees]]</f>
        <v>626</v>
      </c>
      <c r="AC46" s="113">
        <f ca="1">TblProd[[#This Row],[Platinum]]</f>
        <v>331290</v>
      </c>
      <c r="AD46" s="281"/>
      <c r="AE46" s="49">
        <f ca="1">TblExplore[[#This Row],[Land]]-TblExplore[[#This Row],[Land Bonus]]*20</f>
        <v>250</v>
      </c>
      <c r="AF46" s="113">
        <f ca="1">ROUND(IF(TblExplore[[#This Row],[Land-DB]] &gt;= 300, 1000 + 3*((TblExplore[[#This Row],[Land-DB]]-300)^(MAX(MIN(TblExplore[[#This Row],[Land-DB]]^0.0185/1.05,1.121),1.09))), 1000 - (3 * (300-TblExplore[[#This Row],[Land-DB]])))*(1+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44406.541666666562</v>
      </c>
      <c r="AB47" s="113">
        <f ca="1">TblMili[[#This Row],[Draftees]]</f>
        <v>626</v>
      </c>
      <c r="AC47" s="113">
        <f ca="1">TblProd[[#This Row],[Platinum]]</f>
        <v>336776</v>
      </c>
      <c r="AD47" s="281"/>
      <c r="AE47" s="49">
        <f ca="1">TblExplore[[#This Row],[Land]]-TblExplore[[#This Row],[Land Bonus]]*20</f>
        <v>250</v>
      </c>
      <c r="AF47" s="113">
        <f ca="1">ROUND(IF(TblExplore[[#This Row],[Land-DB]] &gt;= 300, 1000 + 3*((TblExplore[[#This Row],[Land-DB]]-300)^(MAX(MIN(TblExplore[[#This Row],[Land-DB]]^0.0185/1.05,1.121),1.09))), 1000 - (3 * (300-TblExplore[[#This Row],[Land-DB]])))*(1+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44406.583333333227</v>
      </c>
      <c r="AB48" s="113">
        <f ca="1">TblMili[[#This Row],[Draftees]]</f>
        <v>626</v>
      </c>
      <c r="AC48" s="113">
        <f ca="1">TblProd[[#This Row],[Platinum]]</f>
        <v>342262</v>
      </c>
      <c r="AD48" s="281"/>
      <c r="AE48" s="49">
        <f ca="1">TblExplore[[#This Row],[Land]]-TblExplore[[#This Row],[Land Bonus]]*20</f>
        <v>250</v>
      </c>
      <c r="AF48" s="113">
        <f ca="1">ROUND(IF(TblExplore[[#This Row],[Land-DB]] &gt;= 300, 1000 + 3*((TblExplore[[#This Row],[Land-DB]]-300)^(MAX(MIN(TblExplore[[#This Row],[Land-DB]]^0.0185/1.05,1.121),1.09))), 1000 - (3 * (300-TblExplore[[#This Row],[Land-DB]])))*(1+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44406.624999999891</v>
      </c>
      <c r="AB49" s="113">
        <f ca="1">TblMili[[#This Row],[Draftees]]</f>
        <v>626</v>
      </c>
      <c r="AC49" s="113">
        <f ca="1">TblProd[[#This Row],[Platinum]]</f>
        <v>347748</v>
      </c>
      <c r="AD49" s="281"/>
      <c r="AE49" s="49">
        <f ca="1">TblExplore[[#This Row],[Land]]-TblExplore[[#This Row],[Land Bonus]]*20</f>
        <v>250</v>
      </c>
      <c r="AF49" s="113">
        <f ca="1">ROUND(IF(TblExplore[[#This Row],[Land-DB]] &gt;= 300, 1000 + 3*((TblExplore[[#This Row],[Land-DB]]-300)^(MAX(MIN(TblExplore[[#This Row],[Land-DB]]^0.0185/1.05,1.121),1.09))), 1000 - (3 * (300-TblExplore[[#This Row],[Land-DB]])))*(1+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44406.666666666555</v>
      </c>
      <c r="AB50" s="113">
        <f ca="1">TblMili[[#This Row],[Draftees]]</f>
        <v>626</v>
      </c>
      <c r="AC50" s="113">
        <f ca="1">TblProd[[#This Row],[Platinum]]</f>
        <v>353234</v>
      </c>
      <c r="AD50" s="281"/>
      <c r="AE50" s="49">
        <f ca="1">TblExplore[[#This Row],[Land]]-TblExplore[[#This Row],[Land Bonus]]*20</f>
        <v>250</v>
      </c>
      <c r="AF50" s="113">
        <f ca="1">ROUND(IF(TblExplore[[#This Row],[Land-DB]] &gt;= 300, 1000 + 3*((TblExplore[[#This Row],[Land-DB]]-300)^(MAX(MIN(TblExplore[[#This Row],[Land-DB]]^0.0185/1.05,1.121),1.09))), 1000 - (3 * (300-TblExplore[[#This Row],[Land-DB]])))*(1+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44406.708333333219</v>
      </c>
      <c r="AB51" s="113">
        <f ca="1">TblMili[[#This Row],[Draftees]]</f>
        <v>626</v>
      </c>
      <c r="AC51" s="113">
        <f ca="1">TblProd[[#This Row],[Platinum]]</f>
        <v>358720</v>
      </c>
      <c r="AD51" s="281"/>
      <c r="AE51" s="49">
        <f ca="1">TblExplore[[#This Row],[Land]]-TblExplore[[#This Row],[Land Bonus]]*20</f>
        <v>250</v>
      </c>
      <c r="AF51" s="113">
        <f ca="1">ROUND(IF(TblExplore[[#This Row],[Land-DB]] &gt;= 300, 1000 + 3*((TblExplore[[#This Row],[Land-DB]]-300)^(MAX(MIN(TblExplore[[#This Row],[Land-DB]]^0.0185/1.05,1.121),1.09))), 1000 - (3 * (300-TblExplore[[#This Row],[Land-DB]])))*(1+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44406.749999999884</v>
      </c>
      <c r="AB52" s="113">
        <f ca="1">TblMili[[#This Row],[Draftees]]</f>
        <v>626</v>
      </c>
      <c r="AC52" s="113">
        <f ca="1">TblProd[[#This Row],[Platinum]]</f>
        <v>364206</v>
      </c>
      <c r="AD52" s="281"/>
      <c r="AE52" s="49">
        <f ca="1">TblExplore[[#This Row],[Land]]-TblExplore[[#This Row],[Land Bonus]]*20</f>
        <v>250</v>
      </c>
      <c r="AF52" s="113">
        <f ca="1">ROUND(IF(TblExplore[[#This Row],[Land-DB]] &gt;= 300, 1000 + 3*((TblExplore[[#This Row],[Land-DB]]-300)^(MAX(MIN(TblExplore[[#This Row],[Land-DB]]^0.0185/1.05,1.121),1.09))), 1000 - (3 * (300-TblExplore[[#This Row],[Land-DB]])))*(1+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44406.791666666548</v>
      </c>
      <c r="AB53" s="113">
        <f ca="1">TblMili[[#This Row],[Draftees]]</f>
        <v>626</v>
      </c>
      <c r="AC53" s="113">
        <f ca="1">TblProd[[#This Row],[Platinum]]</f>
        <v>369692</v>
      </c>
      <c r="AD53" s="281"/>
      <c r="AE53" s="49">
        <f ca="1">TblExplore[[#This Row],[Land]]-TblExplore[[#This Row],[Land Bonus]]*20</f>
        <v>250</v>
      </c>
      <c r="AF53" s="113">
        <f ca="1">ROUND(IF(TblExplore[[#This Row],[Land-DB]] &gt;= 300, 1000 + 3*((TblExplore[[#This Row],[Land-DB]]-300)^(MAX(MIN(TblExplore[[#This Row],[Land-DB]]^0.0185/1.05,1.121),1.09))), 1000 - (3 * (300-TblExplore[[#This Row],[Land-DB]])))*(1+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1083</v>
      </c>
      <c r="M54" s="491" t="s">
        <v>314</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44406.833333333212</v>
      </c>
      <c r="AB54" s="113">
        <f ca="1">TblMili[[#This Row],[Draftees]]</f>
        <v>626</v>
      </c>
      <c r="AC54" s="113">
        <f ca="1">TblProd[[#This Row],[Platinum]]</f>
        <v>375178</v>
      </c>
      <c r="AD54" s="281"/>
      <c r="AE54" s="49">
        <f ca="1">TblExplore[[#This Row],[Land]]-TblExplore[[#This Row],[Land Bonus]]*20</f>
        <v>250</v>
      </c>
      <c r="AF54" s="113">
        <f ca="1">ROUND(IF(TblExplore[[#This Row],[Land-DB]] &gt;= 300, 1000 + 3*((TblExplore[[#This Row],[Land-DB]]-300)^(MAX(MIN(TblExplore[[#This Row],[Land-DB]]^0.0185/1.05,1.121),1.09))), 1000 - (3 * (300-TblExplore[[#This Row],[Land-DB]])))*(1+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44406.874999999876</v>
      </c>
      <c r="AB55" s="113">
        <f ca="1">TblMili[[#This Row],[Draftees]]</f>
        <v>626</v>
      </c>
      <c r="AC55" s="113">
        <f ca="1">TblProd[[#This Row],[Platinum]]</f>
        <v>380664</v>
      </c>
      <c r="AD55" s="281"/>
      <c r="AE55" s="49">
        <f ca="1">TblExplore[[#This Row],[Land]]-TblExplore[[#This Row],[Land Bonus]]*20</f>
        <v>250</v>
      </c>
      <c r="AF55" s="113">
        <f ca="1">ROUND(IF(TblExplore[[#This Row],[Land-DB]] &gt;= 300, 1000 + 3*((TblExplore[[#This Row],[Land-DB]]-300)^(MAX(MIN(TblExplore[[#This Row],[Land-DB]]^0.0185/1.05,1.121),1.09))), 1000 - (3 * (300-TblExplore[[#This Row],[Land-DB]])))*(1+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44406.916666666541</v>
      </c>
      <c r="AB56" s="113">
        <f ca="1">TblMili[[#This Row],[Draftees]]</f>
        <v>626</v>
      </c>
      <c r="AC56" s="113">
        <f ca="1">TblProd[[#This Row],[Platinum]]</f>
        <v>386150</v>
      </c>
      <c r="AD56" s="281"/>
      <c r="AE56" s="49">
        <f ca="1">TblExplore[[#This Row],[Land]]-TblExplore[[#This Row],[Land Bonus]]*20</f>
        <v>250</v>
      </c>
      <c r="AF56" s="113">
        <f ca="1">ROUND(IF(TblExplore[[#This Row],[Land-DB]] &gt;= 300, 1000 + 3*((TblExplore[[#This Row],[Land-DB]]-300)^(MAX(MIN(TblExplore[[#This Row],[Land-DB]]^0.0185/1.05,1.121),1.09))), 1000 - (3 * (300-TblExplore[[#This Row],[Land-DB]])))*(1+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44406.958333333205</v>
      </c>
      <c r="AB57" s="113">
        <f ca="1">TblMili[[#This Row],[Draftees]]</f>
        <v>626</v>
      </c>
      <c r="AC57" s="113">
        <f ca="1">TblProd[[#This Row],[Platinum]]</f>
        <v>391636</v>
      </c>
      <c r="AD57" s="281"/>
      <c r="AE57" s="49">
        <f ca="1">TblExplore[[#This Row],[Land]]-TblExplore[[#This Row],[Land Bonus]]*20</f>
        <v>250</v>
      </c>
      <c r="AF57" s="113">
        <f ca="1">ROUND(IF(TblExplore[[#This Row],[Land-DB]] &gt;= 300, 1000 + 3*((TblExplore[[#This Row],[Land-DB]]-300)^(MAX(MIN(TblExplore[[#This Row],[Land-DB]]^0.0185/1.05,1.121),1.09))), 1000 - (3 * (300-TblExplore[[#This Row],[Land-DB]])))*(1+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44406.999999999869</v>
      </c>
      <c r="AB58" s="113">
        <f ca="1">TblMili[[#This Row],[Draftees]]</f>
        <v>626</v>
      </c>
      <c r="AC58" s="113">
        <f ca="1">TblProd[[#This Row],[Platinum]]</f>
        <v>397122</v>
      </c>
      <c r="AD58" s="281"/>
      <c r="AE58" s="49">
        <f ca="1">TblExplore[[#This Row],[Land]]-TblExplore[[#This Row],[Land Bonus]]*20</f>
        <v>250</v>
      </c>
      <c r="AF58" s="113">
        <f ca="1">ROUND(IF(TblExplore[[#This Row],[Land-DB]] &gt;= 300, 1000 + 3*((TblExplore[[#This Row],[Land-DB]]-300)^(MAX(MIN(TblExplore[[#This Row],[Land-DB]]^0.0185/1.05,1.121),1.09))), 1000 - (3 * (300-TblExplore[[#This Row],[Land-DB]])))*(1+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44407.041666666533</v>
      </c>
      <c r="AB59" s="113">
        <f ca="1">TblMili[[#This Row],[Draftees]]</f>
        <v>626</v>
      </c>
      <c r="AC59" s="113">
        <f ca="1">TblProd[[#This Row],[Platinum]]</f>
        <v>402608</v>
      </c>
      <c r="AD59" s="281"/>
      <c r="AE59" s="49">
        <f ca="1">TblExplore[[#This Row],[Land]]-TblExplore[[#This Row],[Land Bonus]]*20</f>
        <v>250</v>
      </c>
      <c r="AF59" s="113">
        <f ca="1">ROUND(IF(TblExplore[[#This Row],[Land-DB]] &gt;= 300, 1000 + 3*((TblExplore[[#This Row],[Land-DB]]-300)^(MAX(MIN(TblExplore[[#This Row],[Land-DB]]^0.0185/1.05,1.121),1.09))), 1000 - (3 * (300-TblExplore[[#This Row],[Land-DB]])))*(1+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44407.083333333198</v>
      </c>
      <c r="AB60" s="113">
        <f ca="1">TblMili[[#This Row],[Draftees]]</f>
        <v>626</v>
      </c>
      <c r="AC60" s="113">
        <f ca="1">TblProd[[#This Row],[Platinum]]</f>
        <v>408094</v>
      </c>
      <c r="AD60" s="281"/>
      <c r="AE60" s="49">
        <f ca="1">TblExplore[[#This Row],[Land]]-TblExplore[[#This Row],[Land Bonus]]*20</f>
        <v>250</v>
      </c>
      <c r="AF60" s="113">
        <f ca="1">ROUND(IF(TblExplore[[#This Row],[Land-DB]] &gt;= 300, 1000 + 3*((TblExplore[[#This Row],[Land-DB]]-300)^(MAX(MIN(TblExplore[[#This Row],[Land-DB]]^0.0185/1.05,1.121),1.09))), 1000 - (3 * (300-TblExplore[[#This Row],[Land-DB]])))*(1+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44407.124999999862</v>
      </c>
      <c r="AB61" s="113">
        <f ca="1">TblMili[[#This Row],[Draftees]]</f>
        <v>626</v>
      </c>
      <c r="AC61" s="113">
        <f ca="1">TblProd[[#This Row],[Platinum]]</f>
        <v>413580</v>
      </c>
      <c r="AD61" s="281"/>
      <c r="AE61" s="49">
        <f ca="1">TblExplore[[#This Row],[Land]]-TblExplore[[#This Row],[Land Bonus]]*20</f>
        <v>250</v>
      </c>
      <c r="AF61" s="113">
        <f ca="1">ROUND(IF(TblExplore[[#This Row],[Land-DB]] &gt;= 300, 1000 + 3*((TblExplore[[#This Row],[Land-DB]]-300)^(MAX(MIN(TblExplore[[#This Row],[Land-DB]]^0.0185/1.05,1.121),1.09))), 1000 - (3 * (300-TblExplore[[#This Row],[Land-DB]])))*(1+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44407.166666666526</v>
      </c>
      <c r="AB62" s="113">
        <f ca="1">TblMili[[#This Row],[Draftees]]</f>
        <v>626</v>
      </c>
      <c r="AC62" s="113">
        <f ca="1">TblProd[[#This Row],[Platinum]]</f>
        <v>419066</v>
      </c>
      <c r="AD62" s="281"/>
      <c r="AE62" s="49">
        <f ca="1">TblExplore[[#This Row],[Land]]-TblExplore[[#This Row],[Land Bonus]]*20</f>
        <v>250</v>
      </c>
      <c r="AF62" s="113">
        <f ca="1">ROUND(IF(TblExplore[[#This Row],[Land-DB]] &gt;= 300, 1000 + 3*((TblExplore[[#This Row],[Land-DB]]-300)^(MAX(MIN(TblExplore[[#This Row],[Land-DB]]^0.0185/1.05,1.121),1.09))), 1000 - (3 * (300-TblExplore[[#This Row],[Land-DB]])))*(1+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44407.20833333319</v>
      </c>
      <c r="AB63" s="113">
        <f ca="1">TblMili[[#This Row],[Draftees]]</f>
        <v>626</v>
      </c>
      <c r="AC63" s="113">
        <f ca="1">TblProd[[#This Row],[Platinum]]</f>
        <v>424552</v>
      </c>
      <c r="AD63" s="281"/>
      <c r="AE63" s="49">
        <f ca="1">TblExplore[[#This Row],[Land]]-TblExplore[[#This Row],[Land Bonus]]*20</f>
        <v>250</v>
      </c>
      <c r="AF63" s="113">
        <f ca="1">ROUND(IF(TblExplore[[#This Row],[Land-DB]] &gt;= 300, 1000 + 3*((TblExplore[[#This Row],[Land-DB]]-300)^(MAX(MIN(TblExplore[[#This Row],[Land-DB]]^0.0185/1.05,1.121),1.09))), 1000 - (3 * (300-TblExplore[[#This Row],[Land-DB]])))*(1+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44407.249999999854</v>
      </c>
      <c r="AB64" s="113">
        <f ca="1">TblMili[[#This Row],[Draftees]]</f>
        <v>626</v>
      </c>
      <c r="AC64" s="113">
        <f ca="1">TblProd[[#This Row],[Platinum]]</f>
        <v>430038</v>
      </c>
      <c r="AD64" s="281"/>
      <c r="AE64" s="49">
        <f ca="1">TblExplore[[#This Row],[Land]]-TblExplore[[#This Row],[Land Bonus]]*20</f>
        <v>250</v>
      </c>
      <c r="AF64" s="113">
        <f ca="1">ROUND(IF(TblExplore[[#This Row],[Land-DB]] &gt;= 300, 1000 + 3*((TblExplore[[#This Row],[Land-DB]]-300)^(MAX(MIN(TblExplore[[#This Row],[Land-DB]]^0.0185/1.05,1.121),1.09))), 1000 - (3 * (300-TblExplore[[#This Row],[Land-DB]])))*(1+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44407.291666666519</v>
      </c>
      <c r="AB65" s="113">
        <f ca="1">TblMili[[#This Row],[Draftees]]</f>
        <v>626</v>
      </c>
      <c r="AC65" s="113">
        <f ca="1">TblProd[[#This Row],[Platinum]]</f>
        <v>435524</v>
      </c>
      <c r="AD65" s="281"/>
      <c r="AE65" s="49">
        <f ca="1">TblExplore[[#This Row],[Land]]-TblExplore[[#This Row],[Land Bonus]]*20</f>
        <v>250</v>
      </c>
      <c r="AF65" s="113">
        <f ca="1">ROUND(IF(TblExplore[[#This Row],[Land-DB]] &gt;= 300, 1000 + 3*((TblExplore[[#This Row],[Land-DB]]-300)^(MAX(MIN(TblExplore[[#This Row],[Land-DB]]^0.0185/1.05,1.121),1.09))), 1000 - (3 * (300-TblExplore[[#This Row],[Land-DB]])))*(1+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44407.333333333183</v>
      </c>
      <c r="AB66" s="113">
        <f ca="1">TblMili[[#This Row],[Draftees]]</f>
        <v>626</v>
      </c>
      <c r="AC66" s="113">
        <f ca="1">TblProd[[#This Row],[Platinum]]</f>
        <v>441010</v>
      </c>
      <c r="AD66" s="281"/>
      <c r="AE66" s="49">
        <f ca="1">TblExplore[[#This Row],[Land]]-TblExplore[[#This Row],[Land Bonus]]*20</f>
        <v>250</v>
      </c>
      <c r="AF66" s="113">
        <f ca="1">ROUND(IF(TblExplore[[#This Row],[Land-DB]] &gt;= 300, 1000 + 3*((TblExplore[[#This Row],[Land-DB]]-300)^(MAX(MIN(TblExplore[[#This Row],[Land-DB]]^0.0185/1.05,1.121),1.09))), 1000 - (3 * (300-TblExplore[[#This Row],[Land-DB]])))*(1+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44407.374999999847</v>
      </c>
      <c r="AB67" s="113">
        <f ca="1">TblMili[[#This Row],[Draftees]]</f>
        <v>626</v>
      </c>
      <c r="AC67" s="113">
        <f ca="1">TblProd[[#This Row],[Platinum]]</f>
        <v>446496</v>
      </c>
      <c r="AD67" s="281"/>
      <c r="AE67" s="49">
        <f ca="1">TblExplore[[#This Row],[Land]]-TblExplore[[#This Row],[Land Bonus]]*20</f>
        <v>250</v>
      </c>
      <c r="AF67" s="113">
        <f ca="1">ROUND(IF(TblExplore[[#This Row],[Land-DB]] &gt;= 300, 1000 + 3*((TblExplore[[#This Row],[Land-DB]]-300)^(MAX(MIN(TblExplore[[#This Row],[Land-DB]]^0.0185/1.05,1.121),1.09))), 1000 - (3 * (300-TblExplore[[#This Row],[Land-DB]])))*(1+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44407.416666666511</v>
      </c>
      <c r="AB68" s="113">
        <f ca="1">TblMili[[#This Row],[Draftees]]</f>
        <v>626</v>
      </c>
      <c r="AC68" s="113">
        <f ca="1">TblProd[[#This Row],[Platinum]]</f>
        <v>451982</v>
      </c>
      <c r="AD68" s="281"/>
      <c r="AE68" s="49">
        <f ca="1">TblExplore[[#This Row],[Land]]-TblExplore[[#This Row],[Land Bonus]]*20</f>
        <v>250</v>
      </c>
      <c r="AF68" s="113">
        <f ca="1">ROUND(IF(TblExplore[[#This Row],[Land-DB]] &gt;= 300, 1000 + 3*((TblExplore[[#This Row],[Land-DB]]-300)^(MAX(MIN(TblExplore[[#This Row],[Land-DB]]^0.0185/1.05,1.121),1.09))), 1000 - (3 * (300-TblExplore[[#This Row],[Land-DB]])))*(1+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44407.458333333176</v>
      </c>
      <c r="AB69" s="113">
        <f ca="1">TblMili[[#This Row],[Draftees]]</f>
        <v>626</v>
      </c>
      <c r="AC69" s="113">
        <f ca="1">TblProd[[#This Row],[Platinum]]</f>
        <v>457468</v>
      </c>
      <c r="AD69" s="281"/>
      <c r="AE69" s="49">
        <f ca="1">TblExplore[[#This Row],[Land]]-TblExplore[[#This Row],[Land Bonus]]*20</f>
        <v>250</v>
      </c>
      <c r="AF69" s="113">
        <f ca="1">ROUND(IF(TblExplore[[#This Row],[Land-DB]] &gt;= 300, 1000 + 3*((TblExplore[[#This Row],[Land-DB]]-300)^(MAX(MIN(TblExplore[[#This Row],[Land-DB]]^0.0185/1.05,1.121),1.09))), 1000 - (3 * (300-TblExplore[[#This Row],[Land-DB]])))*(1+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44407.49999999984</v>
      </c>
      <c r="AB70" s="113">
        <f ca="1">TblMili[[#This Row],[Draftees]]</f>
        <v>626</v>
      </c>
      <c r="AC70" s="113">
        <f ca="1">TblProd[[#This Row],[Platinum]]</f>
        <v>462954</v>
      </c>
      <c r="AD70" s="281"/>
      <c r="AE70" s="49">
        <f ca="1">TblExplore[[#This Row],[Land]]-TblExplore[[#This Row],[Land Bonus]]*20</f>
        <v>250</v>
      </c>
      <c r="AF70" s="113">
        <f ca="1">ROUND(IF(TblExplore[[#This Row],[Land-DB]] &gt;= 300, 1000 + 3*((TblExplore[[#This Row],[Land-DB]]-300)^(MAX(MIN(TblExplore[[#This Row],[Land-DB]]^0.0185/1.05,1.121),1.09))), 1000 - (3 * (300-TblExplore[[#This Row],[Land-DB]])))*(1+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44407.541666666504</v>
      </c>
      <c r="AB71" s="113">
        <f ca="1">TblMili[[#This Row],[Draftees]]</f>
        <v>626</v>
      </c>
      <c r="AC71" s="113">
        <f ca="1">TblProd[[#This Row],[Platinum]]</f>
        <v>468440</v>
      </c>
      <c r="AD71" s="281"/>
      <c r="AE71" s="49">
        <f ca="1">TblExplore[[#This Row],[Land]]-TblExplore[[#This Row],[Land Bonus]]*20</f>
        <v>250</v>
      </c>
      <c r="AF71" s="113">
        <f ca="1">ROUND(IF(TblExplore[[#This Row],[Land-DB]] &gt;= 300, 1000 + 3*((TblExplore[[#This Row],[Land-DB]]-300)^(MAX(MIN(TblExplore[[#This Row],[Land-DB]]^0.0185/1.05,1.121),1.09))), 1000 - (3 * (300-TblExplore[[#This Row],[Land-DB]])))*(1+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44407.583333333168</v>
      </c>
      <c r="AB72" s="113">
        <f ca="1">TblMili[[#This Row],[Draftees]]</f>
        <v>626</v>
      </c>
      <c r="AC72" s="113">
        <f ca="1">TblProd[[#This Row],[Platinum]]</f>
        <v>473926</v>
      </c>
      <c r="AD72" s="281"/>
      <c r="AE72" s="49">
        <f ca="1">TblExplore[[#This Row],[Land]]-TblExplore[[#This Row],[Land Bonus]]*20</f>
        <v>250</v>
      </c>
      <c r="AF72" s="113">
        <f ca="1">ROUND(IF(TblExplore[[#This Row],[Land-DB]] &gt;= 300, 1000 + 3*((TblExplore[[#This Row],[Land-DB]]-300)^(MAX(MIN(TblExplore[[#This Row],[Land-DB]]^0.0185/1.05,1.121),1.09))), 1000 - (3 * (300-TblExplore[[#This Row],[Land-DB]])))*(1+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44407.624999999833</v>
      </c>
      <c r="AB73" s="113">
        <f ca="1">TblMili[[#This Row],[Draftees]]</f>
        <v>626</v>
      </c>
      <c r="AC73" s="113">
        <f ca="1">TblProd[[#This Row],[Platinum]]</f>
        <v>479412</v>
      </c>
      <c r="AD73" s="281"/>
      <c r="AE73" s="49">
        <f ca="1">TblExplore[[#This Row],[Land]]-TblExplore[[#This Row],[Land Bonus]]*20</f>
        <v>250</v>
      </c>
      <c r="AF73" s="113">
        <f ca="1">ROUND(IF(TblExplore[[#This Row],[Land-DB]] &gt;= 300, 1000 + 3*((TblExplore[[#This Row],[Land-DB]]-300)^(MAX(MIN(TblExplore[[#This Row],[Land-DB]]^0.0185/1.05,1.121),1.09))), 1000 - (3 * (300-TblExplore[[#This Row],[Land-DB]])))*(1+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44407.666666666497</v>
      </c>
      <c r="AB74" s="113">
        <f ca="1">TblMili[[#This Row],[Draftees]]</f>
        <v>626</v>
      </c>
      <c r="AC74" s="113">
        <f ca="1">TblProd[[#This Row],[Platinum]]</f>
        <v>484898</v>
      </c>
      <c r="AD74" s="281"/>
      <c r="AE74" s="49">
        <f ca="1">TblExplore[[#This Row],[Land]]-TblExplore[[#This Row],[Land Bonus]]*20</f>
        <v>250</v>
      </c>
      <c r="AF74" s="113">
        <f ca="1">ROUND(IF(TblExplore[[#This Row],[Land-DB]] &gt;= 300, 1000 + 3*((TblExplore[[#This Row],[Land-DB]]-300)^(MAX(MIN(TblExplore[[#This Row],[Land-DB]]^0.0185/1.05,1.121),1.09))), 1000 - (3 * (300-TblExplore[[#This Row],[Land-DB]])))*(1+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44407.708333333161</v>
      </c>
      <c r="AB75" s="113">
        <f ca="1">TblMili[[#This Row],[Draftees]]</f>
        <v>626</v>
      </c>
      <c r="AC75" s="113">
        <f ca="1">TblProd[[#This Row],[Platinum]]</f>
        <v>490384</v>
      </c>
      <c r="AD75" s="281"/>
      <c r="AE75" s="49">
        <f ca="1">TblExplore[[#This Row],[Land]]-TblExplore[[#This Row],[Land Bonus]]*20</f>
        <v>250</v>
      </c>
      <c r="AF75" s="113">
        <f ca="1">ROUND(IF(TblExplore[[#This Row],[Land-DB]] &gt;= 300, 1000 + 3*((TblExplore[[#This Row],[Land-DB]]-300)^(MAX(MIN(TblExplore[[#This Row],[Land-DB]]^0.0185/1.05,1.121),1.09))), 1000 - (3 * (300-TblExplore[[#This Row],[Land-DB]])))*(1+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44407.749999999825</v>
      </c>
      <c r="AB76" s="262">
        <f ca="1">TblMili[[#This Row],[Draftees]]</f>
        <v>626</v>
      </c>
      <c r="AC76" s="262">
        <f ca="1">TblProd[[#This Row],[Platinum]]</f>
        <v>495870</v>
      </c>
      <c r="AD76" s="298"/>
      <c r="AE76" s="263">
        <f ca="1">TblExplore[[#This Row],[Land]]-TblExplore[[#This Row],[Land Bonus]]*20</f>
        <v>250</v>
      </c>
      <c r="AF76" s="262">
        <f ca="1">ROUND(IF(TblExplore[[#This Row],[Land-DB]] &gt;= 300, 1000 + 3*((TblExplore[[#This Row],[Land-DB]]-300)^(MAX(MIN(TblExplore[[#This Row],[Land-DB]]^0.0185/1.05,1.121),1.09))), 1000 - (3 * (300-TblExplore[[#This Row],[Land-DB]])))*(1+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44407.79166666649</v>
      </c>
      <c r="AB77" s="113">
        <f ca="1">TblMili[[#This Row],[Draftees]]</f>
        <v>626</v>
      </c>
      <c r="AC77" s="113">
        <f ca="1">TblProd[[#This Row],[Platinum]]</f>
        <v>501356</v>
      </c>
      <c r="AD77" s="281"/>
      <c r="AE77" s="49">
        <f ca="1">TblExplore[[#This Row],[Land]]-TblExplore[[#This Row],[Land Bonus]]*20</f>
        <v>250</v>
      </c>
      <c r="AF77" s="113">
        <f ca="1">ROUND(IF(TblExplore[[#This Row],[Land-DB]] &gt;= 300, 1000 + 3*((TblExplore[[#This Row],[Land-DB]]-300)^(MAX(MIN(TblExplore[[#This Row],[Land-DB]]^0.0185/1.05,1.121),1.09))), 1000 - (3 * (300-TblExplore[[#This Row],[Land-DB]])))*(1+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44407.833333333154</v>
      </c>
      <c r="AB78" s="113">
        <f ca="1">TblMili[[#This Row],[Draftees]]</f>
        <v>626</v>
      </c>
      <c r="AC78" s="113">
        <f ca="1">TblProd[[#This Row],[Platinum]]</f>
        <v>506842</v>
      </c>
      <c r="AD78" s="281"/>
      <c r="AE78" s="49">
        <f ca="1">TblExplore[[#This Row],[Land]]-TblExplore[[#This Row],[Land Bonus]]*20</f>
        <v>250</v>
      </c>
      <c r="AF78" s="113">
        <f ca="1">ROUND(IF(TblExplore[[#This Row],[Land-DB]] &gt;= 300, 1000 + 3*((TblExplore[[#This Row],[Land-DB]]-300)^(MAX(MIN(TblExplore[[#This Row],[Land-DB]]^0.0185/1.05,1.121),1.09))), 1000 - (3 * (300-TblExplore[[#This Row],[Land-DB]])))*(1+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44407.874999999818</v>
      </c>
      <c r="AB79" s="113">
        <f ca="1">TblMili[[#This Row],[Draftees]]</f>
        <v>626</v>
      </c>
      <c r="AC79" s="113">
        <f ca="1">TblProd[[#This Row],[Platinum]]</f>
        <v>512328</v>
      </c>
      <c r="AD79" s="281"/>
      <c r="AE79" s="49">
        <f ca="1">TblExplore[[#This Row],[Land]]-TblExplore[[#This Row],[Land Bonus]]*20</f>
        <v>250</v>
      </c>
      <c r="AF79" s="113">
        <f ca="1">ROUND(IF(TblExplore[[#This Row],[Land-DB]] &gt;= 300, 1000 + 3*((TblExplore[[#This Row],[Land-DB]]-300)^(MAX(MIN(TblExplore[[#This Row],[Land-DB]]^0.0185/1.05,1.121),1.09))), 1000 - (3 * (300-TblExplore[[#This Row],[Land-DB]])))*(1+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44407.916666666482</v>
      </c>
      <c r="AB80" s="113">
        <f ca="1">TblMili[[#This Row],[Draftees]]</f>
        <v>626</v>
      </c>
      <c r="AC80" s="113">
        <f ca="1">TblProd[[#This Row],[Platinum]]</f>
        <v>517814</v>
      </c>
      <c r="AD80" s="281"/>
      <c r="AE80" s="49">
        <f ca="1">TblExplore[[#This Row],[Land]]-TblExplore[[#This Row],[Land Bonus]]*20</f>
        <v>250</v>
      </c>
      <c r="AF80" s="113">
        <f ca="1">ROUND(IF(TblExplore[[#This Row],[Land-DB]] &gt;= 300, 1000 + 3*((TblExplore[[#This Row],[Land-DB]]-300)^(MAX(MIN(TblExplore[[#This Row],[Land-DB]]^0.0185/1.05,1.121),1.09))), 1000 - (3 * (300-TblExplore[[#This Row],[Land-DB]])))*(1+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44407.958333333147</v>
      </c>
      <c r="AB81" s="113">
        <f ca="1">TblMili[[#This Row],[Draftees]]</f>
        <v>626</v>
      </c>
      <c r="AC81" s="113">
        <f ca="1">TblProd[[#This Row],[Platinum]]</f>
        <v>523300</v>
      </c>
      <c r="AD81" s="281"/>
      <c r="AE81" s="49">
        <f ca="1">TblExplore[[#This Row],[Land]]-TblExplore[[#This Row],[Land Bonus]]*20</f>
        <v>250</v>
      </c>
      <c r="AF81" s="113">
        <f ca="1">ROUND(IF(TblExplore[[#This Row],[Land-DB]] &gt;= 300, 1000 + 3*((TblExplore[[#This Row],[Land-DB]]-300)^(MAX(MIN(TblExplore[[#This Row],[Land-DB]]^0.0185/1.05,1.121),1.09))), 1000 - (3 * (300-TblExplore[[#This Row],[Land-DB]])))*(1+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44407.999999999811</v>
      </c>
      <c r="AB82" s="113">
        <f ca="1">TblMili[[#This Row],[Draftees]]</f>
        <v>626</v>
      </c>
      <c r="AC82" s="113">
        <f ca="1">TblProd[[#This Row],[Platinum]]</f>
        <v>528786</v>
      </c>
      <c r="AD82" s="281"/>
      <c r="AE82" s="49">
        <f ca="1">TblExplore[[#This Row],[Land]]-TblExplore[[#This Row],[Land Bonus]]*20</f>
        <v>250</v>
      </c>
      <c r="AF82" s="113">
        <f ca="1">ROUND(IF(TblExplore[[#This Row],[Land-DB]] &gt;= 300, 1000 + 3*((TblExplore[[#This Row],[Land-DB]]-300)^(MAX(MIN(TblExplore[[#This Row],[Land-DB]]^0.0185/1.05,1.121),1.09))), 1000 - (3 * (300-TblExplore[[#This Row],[Land-DB]])))*(1+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44408.041666666475</v>
      </c>
      <c r="AB83" s="113">
        <f ca="1">TblMili[[#This Row],[Draftees]]</f>
        <v>626</v>
      </c>
      <c r="AC83" s="113">
        <f ca="1">TblProd[[#This Row],[Platinum]]</f>
        <v>534272</v>
      </c>
      <c r="AD83" s="281"/>
      <c r="AE83" s="49">
        <f ca="1">TblExplore[[#This Row],[Land]]-TblExplore[[#This Row],[Land Bonus]]*20</f>
        <v>250</v>
      </c>
      <c r="AF83" s="113">
        <f ca="1">ROUND(IF(TblExplore[[#This Row],[Land-DB]] &gt;= 300, 1000 + 3*((TblExplore[[#This Row],[Land-DB]]-300)^(MAX(MIN(TblExplore[[#This Row],[Land-DB]]^0.0185/1.05,1.121),1.09))), 1000 - (3 * (300-TblExplore[[#This Row],[Land-DB]])))*(1+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44408.083333333139</v>
      </c>
      <c r="AB84" s="113">
        <f ca="1">TblMili[[#This Row],[Draftees]]</f>
        <v>626</v>
      </c>
      <c r="AC84" s="113">
        <f ca="1">TblProd[[#This Row],[Platinum]]</f>
        <v>539758</v>
      </c>
      <c r="AD84" s="281"/>
      <c r="AE84" s="49">
        <f ca="1">TblExplore[[#This Row],[Land]]-TblExplore[[#This Row],[Land Bonus]]*20</f>
        <v>250</v>
      </c>
      <c r="AF84" s="113">
        <f ca="1">ROUND(IF(TblExplore[[#This Row],[Land-DB]] &gt;= 300, 1000 + 3*((TblExplore[[#This Row],[Land-DB]]-300)^(MAX(MIN(TblExplore[[#This Row],[Land-DB]]^0.0185/1.05,1.121),1.09))), 1000 - (3 * (300-TblExplore[[#This Row],[Land-DB]])))*(1+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44408.124999999804</v>
      </c>
      <c r="AB85" s="113">
        <f ca="1">TblMili[[#This Row],[Draftees]]</f>
        <v>626</v>
      </c>
      <c r="AC85" s="113">
        <f ca="1">TblProd[[#This Row],[Platinum]]</f>
        <v>545244</v>
      </c>
      <c r="AD85" s="281"/>
      <c r="AE85" s="49">
        <f ca="1">TblExplore[[#This Row],[Land]]-TblExplore[[#This Row],[Land Bonus]]*20</f>
        <v>250</v>
      </c>
      <c r="AF85" s="113">
        <f ca="1">ROUND(IF(TblExplore[[#This Row],[Land-DB]] &gt;= 300, 1000 + 3*((TblExplore[[#This Row],[Land-DB]]-300)^(MAX(MIN(TblExplore[[#This Row],[Land-DB]]^0.0185/1.05,1.121),1.09))), 1000 - (3 * (300-TblExplore[[#This Row],[Land-DB]])))*(1+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44408.166666666468</v>
      </c>
      <c r="AB86" s="113">
        <f ca="1">TblMili[[#This Row],[Draftees]]</f>
        <v>626</v>
      </c>
      <c r="AC86" s="113">
        <f ca="1">TblProd[[#This Row],[Platinum]]</f>
        <v>550730</v>
      </c>
      <c r="AD86" s="281"/>
      <c r="AE86" s="49">
        <f ca="1">TblExplore[[#This Row],[Land]]-TblExplore[[#This Row],[Land Bonus]]*20</f>
        <v>250</v>
      </c>
      <c r="AF86" s="113">
        <f ca="1">ROUND(IF(TblExplore[[#This Row],[Land-DB]] &gt;= 300, 1000 + 3*((TblExplore[[#This Row],[Land-DB]]-300)^(MAX(MIN(TblExplore[[#This Row],[Land-DB]]^0.0185/1.05,1.121),1.09))), 1000 - (3 * (300-TblExplore[[#This Row],[Land-DB]])))*(1+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44408.208333333132</v>
      </c>
      <c r="AB87" s="113">
        <f ca="1">TblMili[[#This Row],[Draftees]]</f>
        <v>626</v>
      </c>
      <c r="AC87" s="113">
        <f ca="1">TblProd[[#This Row],[Platinum]]</f>
        <v>556216</v>
      </c>
      <c r="AD87" s="281"/>
      <c r="AE87" s="49">
        <f ca="1">TblExplore[[#This Row],[Land]]-TblExplore[[#This Row],[Land Bonus]]*20</f>
        <v>250</v>
      </c>
      <c r="AF87" s="113">
        <f ca="1">ROUND(IF(TblExplore[[#This Row],[Land-DB]] &gt;= 300, 1000 + 3*((TblExplore[[#This Row],[Land-DB]]-300)^(MAX(MIN(TblExplore[[#This Row],[Land-DB]]^0.0185/1.05,1.121),1.09))), 1000 - (3 * (300-TblExplore[[#This Row],[Land-DB]])))*(1+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44408.249999999796</v>
      </c>
      <c r="AB88" s="113">
        <f ca="1">TblMili[[#This Row],[Draftees]]</f>
        <v>626</v>
      </c>
      <c r="AC88" s="113">
        <f ca="1">TblProd[[#This Row],[Platinum]]</f>
        <v>561702</v>
      </c>
      <c r="AD88" s="281"/>
      <c r="AE88" s="49">
        <f ca="1">TblExplore[[#This Row],[Land]]-TblExplore[[#This Row],[Land Bonus]]*20</f>
        <v>250</v>
      </c>
      <c r="AF88" s="113">
        <f ca="1">ROUND(IF(TblExplore[[#This Row],[Land-DB]] &gt;= 300, 1000 + 3*((TblExplore[[#This Row],[Land-DB]]-300)^(MAX(MIN(TblExplore[[#This Row],[Land-DB]]^0.0185/1.05,1.121),1.09))), 1000 - (3 * (300-TblExplore[[#This Row],[Land-DB]])))*(1+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44408.291666666461</v>
      </c>
      <c r="AB89" s="113">
        <f ca="1">TblMili[[#This Row],[Draftees]]</f>
        <v>626</v>
      </c>
      <c r="AC89" s="113">
        <f ca="1">TblProd[[#This Row],[Platinum]]</f>
        <v>567188</v>
      </c>
      <c r="AD89" s="281"/>
      <c r="AE89" s="49">
        <f ca="1">TblExplore[[#This Row],[Land]]-TblExplore[[#This Row],[Land Bonus]]*20</f>
        <v>250</v>
      </c>
      <c r="AF89" s="113">
        <f ca="1">ROUND(IF(TblExplore[[#This Row],[Land-DB]] &gt;= 300, 1000 + 3*((TblExplore[[#This Row],[Land-DB]]-300)^(MAX(MIN(TblExplore[[#This Row],[Land-DB]]^0.0185/1.05,1.121),1.09))), 1000 - (3 * (300-TblExplore[[#This Row],[Land-DB]])))*(1+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44408.333333333125</v>
      </c>
      <c r="AB90" s="113">
        <f ca="1">TblMili[[#This Row],[Draftees]]</f>
        <v>626</v>
      </c>
      <c r="AC90" s="113">
        <f ca="1">TblProd[[#This Row],[Platinum]]</f>
        <v>572674</v>
      </c>
      <c r="AD90" s="281"/>
      <c r="AE90" s="49">
        <f ca="1">TblExplore[[#This Row],[Land]]-TblExplore[[#This Row],[Land Bonus]]*20</f>
        <v>250</v>
      </c>
      <c r="AF90" s="113">
        <f ca="1">ROUND(IF(TblExplore[[#This Row],[Land-DB]] &gt;= 300, 1000 + 3*((TblExplore[[#This Row],[Land-DB]]-300)^(MAX(MIN(TblExplore[[#This Row],[Land-DB]]^0.0185/1.05,1.121),1.09))), 1000 - (3 * (300-TblExplore[[#This Row],[Land-DB]])))*(1+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44408.374999999789</v>
      </c>
      <c r="AB91" s="113">
        <f ca="1">TblMili[[#This Row],[Draftees]]</f>
        <v>626</v>
      </c>
      <c r="AC91" s="113">
        <f ca="1">TblProd[[#This Row],[Platinum]]</f>
        <v>578160</v>
      </c>
      <c r="AD91" s="281"/>
      <c r="AE91" s="49">
        <f ca="1">TblExplore[[#This Row],[Land]]-TblExplore[[#This Row],[Land Bonus]]*20</f>
        <v>250</v>
      </c>
      <c r="AF91" s="113">
        <f ca="1">ROUND(IF(TblExplore[[#This Row],[Land-DB]] &gt;= 300, 1000 + 3*((TblExplore[[#This Row],[Land-DB]]-300)^(MAX(MIN(TblExplore[[#This Row],[Land-DB]]^0.0185/1.05,1.121),1.09))), 1000 - (3 * (300-TblExplore[[#This Row],[Land-DB]])))*(1+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44408.416666666453</v>
      </c>
      <c r="AB92" s="113">
        <f ca="1">TblMili[[#This Row],[Draftees]]</f>
        <v>626</v>
      </c>
      <c r="AC92" s="113">
        <f ca="1">TblProd[[#This Row],[Platinum]]</f>
        <v>583646</v>
      </c>
      <c r="AD92" s="281"/>
      <c r="AE92" s="49">
        <f ca="1">TblExplore[[#This Row],[Land]]-TblExplore[[#This Row],[Land Bonus]]*20</f>
        <v>250</v>
      </c>
      <c r="AF92" s="113">
        <f ca="1">ROUND(IF(TblExplore[[#This Row],[Land-DB]] &gt;= 300, 1000 + 3*((TblExplore[[#This Row],[Land-DB]]-300)^(MAX(MIN(TblExplore[[#This Row],[Land-DB]]^0.0185/1.05,1.121),1.09))), 1000 - (3 * (300-TblExplore[[#This Row],[Land-DB]])))*(1+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44408.458333333117</v>
      </c>
      <c r="AB93" s="113">
        <f ca="1">TblMili[[#This Row],[Draftees]]</f>
        <v>626</v>
      </c>
      <c r="AC93" s="113">
        <f ca="1">TblProd[[#This Row],[Platinum]]</f>
        <v>589132</v>
      </c>
      <c r="AD93" s="281"/>
      <c r="AE93" s="49">
        <f ca="1">TblExplore[[#This Row],[Land]]-TblExplore[[#This Row],[Land Bonus]]*20</f>
        <v>250</v>
      </c>
      <c r="AF93" s="113">
        <f ca="1">ROUND(IF(TblExplore[[#This Row],[Land-DB]] &gt;= 300, 1000 + 3*((TblExplore[[#This Row],[Land-DB]]-300)^(MAX(MIN(TblExplore[[#This Row],[Land-DB]]^0.0185/1.05,1.121),1.09))), 1000 - (3 * (300-TblExplore[[#This Row],[Land-DB]])))*(1+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44408.499999999782</v>
      </c>
      <c r="AB94" s="113">
        <f ca="1">TblMili[[#This Row],[Draftees]]</f>
        <v>626</v>
      </c>
      <c r="AC94" s="113">
        <f ca="1">TblProd[[#This Row],[Platinum]]</f>
        <v>594618</v>
      </c>
      <c r="AD94" s="281"/>
      <c r="AE94" s="49">
        <f ca="1">TblExplore[[#This Row],[Land]]-TblExplore[[#This Row],[Land Bonus]]*20</f>
        <v>250</v>
      </c>
      <c r="AF94" s="113">
        <f ca="1">ROUND(IF(TblExplore[[#This Row],[Land-DB]] &gt;= 300, 1000 + 3*((TblExplore[[#This Row],[Land-DB]]-300)^(MAX(MIN(TblExplore[[#This Row],[Land-DB]]^0.0185/1.05,1.121),1.09))), 1000 - (3 * (300-TblExplore[[#This Row],[Land-DB]])))*(1+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44408.541666666446</v>
      </c>
      <c r="AB95" s="113">
        <f ca="1">TblMili[[#This Row],[Draftees]]</f>
        <v>626</v>
      </c>
      <c r="AC95" s="113">
        <f ca="1">TblProd[[#This Row],[Platinum]]</f>
        <v>600104</v>
      </c>
      <c r="AD95" s="281"/>
      <c r="AE95" s="49">
        <f ca="1">TblExplore[[#This Row],[Land]]-TblExplore[[#This Row],[Land Bonus]]*20</f>
        <v>250</v>
      </c>
      <c r="AF95" s="113">
        <f ca="1">ROUND(IF(TblExplore[[#This Row],[Land-DB]] &gt;= 300, 1000 + 3*((TblExplore[[#This Row],[Land-DB]]-300)^(MAX(MIN(TblExplore[[#This Row],[Land-DB]]^0.0185/1.05,1.121),1.09))), 1000 - (3 * (300-TblExplore[[#This Row],[Land-DB]])))*(1+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44408.58333333311</v>
      </c>
      <c r="AB96" s="113">
        <f ca="1">TblMili[[#This Row],[Draftees]]</f>
        <v>626</v>
      </c>
      <c r="AC96" s="113">
        <f ca="1">TblProd[[#This Row],[Platinum]]</f>
        <v>605590</v>
      </c>
      <c r="AD96" s="281"/>
      <c r="AE96" s="49">
        <f ca="1">TblExplore[[#This Row],[Land]]-TblExplore[[#This Row],[Land Bonus]]*20</f>
        <v>250</v>
      </c>
      <c r="AF96" s="113">
        <f ca="1">ROUND(IF(TblExplore[[#This Row],[Land-DB]] &gt;= 300, 1000 + 3*((TblExplore[[#This Row],[Land-DB]]-300)^(MAX(MIN(TblExplore[[#This Row],[Land-DB]]^0.0185/1.05,1.121),1.09))), 1000 - (3 * (300-TblExplore[[#This Row],[Land-DB]])))*(1+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44408.624999999774</v>
      </c>
      <c r="AB97" s="113">
        <f ca="1">TblMili[[#This Row],[Draftees]]</f>
        <v>626</v>
      </c>
      <c r="AC97" s="113">
        <f ca="1">TblProd[[#This Row],[Platinum]]</f>
        <v>611076</v>
      </c>
      <c r="AD97" s="281"/>
      <c r="AE97" s="49">
        <f ca="1">TblExplore[[#This Row],[Land]]-TblExplore[[#This Row],[Land Bonus]]*20</f>
        <v>250</v>
      </c>
      <c r="AF97" s="113">
        <f ca="1">ROUND(IF(TblExplore[[#This Row],[Land-DB]] &gt;= 300, 1000 + 3*((TblExplore[[#This Row],[Land-DB]]-300)^(MAX(MIN(TblExplore[[#This Row],[Land-DB]]^0.0185/1.05,1.121),1.09))), 1000 - (3 * (300-TblExplore[[#This Row],[Land-DB]])))*(1+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44408.666666666439</v>
      </c>
      <c r="AB98" s="113">
        <f ca="1">TblMili[[#This Row],[Draftees]]</f>
        <v>626</v>
      </c>
      <c r="AC98" s="113">
        <f ca="1">TblProd[[#This Row],[Platinum]]</f>
        <v>616562</v>
      </c>
      <c r="AD98" s="281"/>
      <c r="AE98" s="49">
        <f ca="1">TblExplore[[#This Row],[Land]]-TblExplore[[#This Row],[Land Bonus]]*20</f>
        <v>250</v>
      </c>
      <c r="AF98" s="113">
        <f ca="1">ROUND(IF(TblExplore[[#This Row],[Land-DB]] &gt;= 300, 1000 + 3*((TblExplore[[#This Row],[Land-DB]]-300)^(MAX(MIN(TblExplore[[#This Row],[Land-DB]]^0.0185/1.05,1.121),1.09))), 1000 - (3 * (300-TblExplore[[#This Row],[Land-DB]])))*(1+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44408.708333333103</v>
      </c>
      <c r="AB99" s="113">
        <f ca="1">TblMili[[#This Row],[Draftees]]</f>
        <v>626</v>
      </c>
      <c r="AC99" s="113">
        <f ca="1">TblProd[[#This Row],[Platinum]]</f>
        <v>622048</v>
      </c>
      <c r="AD99" s="281"/>
      <c r="AE99" s="49">
        <f ca="1">TblExplore[[#This Row],[Land]]-TblExplore[[#This Row],[Land Bonus]]*20</f>
        <v>250</v>
      </c>
      <c r="AF99" s="113">
        <f ca="1">ROUND(IF(TblExplore[[#This Row],[Land-DB]] &gt;= 300, 1000 + 3*((TblExplore[[#This Row],[Land-DB]]-300)^(MAX(MIN(TblExplore[[#This Row],[Land-DB]]^0.0185/1.05,1.121),1.09))), 1000 - (3 * (300-TblExplore[[#This Row],[Land-DB]])))*(1+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44408.749999999767</v>
      </c>
      <c r="AB100" s="113">
        <f ca="1">TblMili[[#This Row],[Draftees]]</f>
        <v>626</v>
      </c>
      <c r="AC100" s="113">
        <f ca="1">TblProd[[#This Row],[Platinum]]</f>
        <v>627534</v>
      </c>
      <c r="AD100" s="281"/>
      <c r="AE100" s="49">
        <f ca="1">TblExplore[[#This Row],[Land]]-TblExplore[[#This Row],[Land Bonus]]*20</f>
        <v>250</v>
      </c>
      <c r="AF100" s="113">
        <f ca="1">ROUND(IF(TblExplore[[#This Row],[Land-DB]] &gt;= 300, 1000 + 3*((TblExplore[[#This Row],[Land-DB]]-300)^(MAX(MIN(TblExplore[[#This Row],[Land-DB]]^0.0185/1.05,1.121),1.09))), 1000 - (3 * (300-TblExplore[[#This Row],[Land-DB]])))*(1+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44408.791666666431</v>
      </c>
      <c r="AB101" s="113">
        <f ca="1">TblMili[[#This Row],[Draftees]]</f>
        <v>626</v>
      </c>
      <c r="AC101" s="113">
        <f ca="1">TblProd[[#This Row],[Platinum]]</f>
        <v>633020</v>
      </c>
      <c r="AD101" s="281"/>
      <c r="AE101" s="49">
        <f ca="1">TblExplore[[#This Row],[Land]]-TblExplore[[#This Row],[Land Bonus]]*20</f>
        <v>250</v>
      </c>
      <c r="AF101" s="113">
        <f ca="1">ROUND(IF(TblExplore[[#This Row],[Land-DB]] &gt;= 300, 1000 + 3*((TblExplore[[#This Row],[Land-DB]]-300)^(MAX(MIN(TblExplore[[#This Row],[Land-DB]]^0.0185/1.05,1.121),1.09))), 1000 - (3 * (300-TblExplore[[#This Row],[Land-DB]])))*(1+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44408.833333333096</v>
      </c>
      <c r="AB102" s="113">
        <f ca="1">TblMili[[#This Row],[Draftees]]</f>
        <v>626</v>
      </c>
      <c r="AC102" s="113">
        <f ca="1">TblProd[[#This Row],[Platinum]]</f>
        <v>638506</v>
      </c>
      <c r="AD102" s="281"/>
      <c r="AE102" s="49">
        <f ca="1">TblExplore[[#This Row],[Land]]-TblExplore[[#This Row],[Land Bonus]]*20</f>
        <v>250</v>
      </c>
      <c r="AF102" s="113">
        <f ca="1">ROUND(IF(TblExplore[[#This Row],[Land-DB]] &gt;= 300, 1000 + 3*((TblExplore[[#This Row],[Land-DB]]-300)^(MAX(MIN(TblExplore[[#This Row],[Land-DB]]^0.0185/1.05,1.121),1.09))), 1000 - (3 * (300-TblExplore[[#This Row],[Land-DB]])))*(1+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44408.87499999976</v>
      </c>
      <c r="AB103" s="113">
        <f ca="1">TblMili[[#This Row],[Draftees]]</f>
        <v>626</v>
      </c>
      <c r="AC103" s="113">
        <f ca="1">TblProd[[#This Row],[Platinum]]</f>
        <v>643992</v>
      </c>
      <c r="AD103" s="281"/>
      <c r="AE103" s="49">
        <f ca="1">TblExplore[[#This Row],[Land]]-TblExplore[[#This Row],[Land Bonus]]*20</f>
        <v>250</v>
      </c>
      <c r="AF103" s="113">
        <f ca="1">ROUND(IF(TblExplore[[#This Row],[Land-DB]] &gt;= 300, 1000 + 3*((TblExplore[[#This Row],[Land-DB]]-300)^(MAX(MIN(TblExplore[[#This Row],[Land-DB]]^0.0185/1.05,1.121),1.09))), 1000 - (3 * (300-TblExplore[[#This Row],[Land-DB]])))*(1+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44408.916666666424</v>
      </c>
      <c r="AB104" s="113">
        <f ca="1">TblMili[[#This Row],[Draftees]]</f>
        <v>626</v>
      </c>
      <c r="AC104" s="113">
        <f ca="1">TblProd[[#This Row],[Platinum]]</f>
        <v>649478</v>
      </c>
      <c r="AD104" s="281"/>
      <c r="AE104" s="49">
        <f ca="1">TblExplore[[#This Row],[Land]]-TblExplore[[#This Row],[Land Bonus]]*20</f>
        <v>250</v>
      </c>
      <c r="AF104" s="113">
        <f ca="1">ROUND(IF(TblExplore[[#This Row],[Land-DB]] &gt;= 300, 1000 + 3*((TblExplore[[#This Row],[Land-DB]]-300)^(MAX(MIN(TblExplore[[#This Row],[Land-DB]]^0.0185/1.05,1.121),1.09))), 1000 - (3 * (300-TblExplore[[#This Row],[Land-DB]])))*(1+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44408.958333333088</v>
      </c>
      <c r="AB105" s="113">
        <f ca="1">TblMili[[#This Row],[Draftees]]</f>
        <v>626</v>
      </c>
      <c r="AC105" s="113">
        <f ca="1">TblProd[[#This Row],[Platinum]]</f>
        <v>654964</v>
      </c>
      <c r="AD105" s="281"/>
      <c r="AE105" s="49">
        <f ca="1">TblExplore[[#This Row],[Land]]-TblExplore[[#This Row],[Land Bonus]]*20</f>
        <v>250</v>
      </c>
      <c r="AF105" s="113">
        <f ca="1">ROUND(IF(TblExplore[[#This Row],[Land-DB]] &gt;= 300, 1000 + 3*((TblExplore[[#This Row],[Land-DB]]-300)^(MAX(MIN(TblExplore[[#This Row],[Land-DB]]^0.0185/1.05,1.121),1.09))), 1000 - (3 * (300-TblExplore[[#This Row],[Land-DB]])))*(1+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44408.999999999753</v>
      </c>
      <c r="AB106" s="113">
        <f ca="1">TblMili[[#This Row],[Draftees]]</f>
        <v>626</v>
      </c>
      <c r="AC106" s="113">
        <f ca="1">TblProd[[#This Row],[Platinum]]</f>
        <v>660450</v>
      </c>
      <c r="AD106" s="281"/>
      <c r="AE106" s="49">
        <f ca="1">TblExplore[[#This Row],[Land]]-TblExplore[[#This Row],[Land Bonus]]*20</f>
        <v>250</v>
      </c>
      <c r="AF106" s="113">
        <f ca="1">ROUND(IF(TblExplore[[#This Row],[Land-DB]] &gt;= 300, 1000 + 3*((TblExplore[[#This Row],[Land-DB]]-300)^(MAX(MIN(TblExplore[[#This Row],[Land-DB]]^0.0185/1.05,1.121),1.09))), 1000 - (3 * (300-TblExplore[[#This Row],[Land-DB]])))*(1+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44409.041666666417</v>
      </c>
      <c r="AB107" s="113">
        <f ca="1">TblMili[[#This Row],[Draftees]]</f>
        <v>626</v>
      </c>
      <c r="AC107" s="113">
        <f ca="1">TblProd[[#This Row],[Platinum]]</f>
        <v>665936</v>
      </c>
      <c r="AD107" s="281"/>
      <c r="AE107" s="49">
        <f ca="1">TblExplore[[#This Row],[Land]]-TblExplore[[#This Row],[Land Bonus]]*20</f>
        <v>250</v>
      </c>
      <c r="AF107" s="113">
        <f ca="1">ROUND(IF(TblExplore[[#This Row],[Land-DB]] &gt;= 300, 1000 + 3*((TblExplore[[#This Row],[Land-DB]]-300)^(MAX(MIN(TblExplore[[#This Row],[Land-DB]]^0.0185/1.05,1.121),1.09))), 1000 - (3 * (300-TblExplore[[#This Row],[Land-DB]])))*(1+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44409.083333333081</v>
      </c>
      <c r="AB108" s="113">
        <f ca="1">TblMili[[#This Row],[Draftees]]</f>
        <v>626</v>
      </c>
      <c r="AC108" s="113">
        <f ca="1">TblProd[[#This Row],[Platinum]]</f>
        <v>671422</v>
      </c>
      <c r="AD108" s="281"/>
      <c r="AE108" s="49">
        <f ca="1">TblExplore[[#This Row],[Land]]-TblExplore[[#This Row],[Land Bonus]]*20</f>
        <v>250</v>
      </c>
      <c r="AF108" s="113">
        <f ca="1">ROUND(IF(TblExplore[[#This Row],[Land-DB]] &gt;= 300, 1000 + 3*((TblExplore[[#This Row],[Land-DB]]-300)^(MAX(MIN(TblExplore[[#This Row],[Land-DB]]^0.0185/1.05,1.121),1.09))), 1000 - (3 * (300-TblExplore[[#This Row],[Land-DB]])))*(1+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44409.124999999745</v>
      </c>
      <c r="AB109" s="113">
        <f ca="1">TblMili[[#This Row],[Draftees]]</f>
        <v>626</v>
      </c>
      <c r="AC109" s="113">
        <f ca="1">TblProd[[#This Row],[Platinum]]</f>
        <v>676908</v>
      </c>
      <c r="AD109" s="281"/>
      <c r="AE109" s="49">
        <f ca="1">TblExplore[[#This Row],[Land]]-TblExplore[[#This Row],[Land Bonus]]*20</f>
        <v>250</v>
      </c>
      <c r="AF109" s="113">
        <f ca="1">ROUND(IF(TblExplore[[#This Row],[Land-DB]] &gt;= 300, 1000 + 3*((TblExplore[[#This Row],[Land-DB]]-300)^(MAX(MIN(TblExplore[[#This Row],[Land-DB]]^0.0185/1.05,1.121),1.09))), 1000 - (3 * (300-TblExplore[[#This Row],[Land-DB]])))*(1+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44409.16666666641</v>
      </c>
      <c r="AB110" s="113">
        <f ca="1">TblMili[[#This Row],[Draftees]]</f>
        <v>626</v>
      </c>
      <c r="AC110" s="113">
        <f ca="1">TblProd[[#This Row],[Platinum]]</f>
        <v>682394</v>
      </c>
      <c r="AD110" s="281"/>
      <c r="AE110" s="49">
        <f ca="1">TblExplore[[#This Row],[Land]]-TblExplore[[#This Row],[Land Bonus]]*20</f>
        <v>250</v>
      </c>
      <c r="AF110" s="113">
        <f ca="1">ROUND(IF(TblExplore[[#This Row],[Land-DB]] &gt;= 300, 1000 + 3*((TblExplore[[#This Row],[Land-DB]]-300)^(MAX(MIN(TblExplore[[#This Row],[Land-DB]]^0.0185/1.05,1.121),1.09))), 1000 - (3 * (300-TblExplore[[#This Row],[Land-DB]])))*(1+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44409.208333333074</v>
      </c>
      <c r="AB111" s="113">
        <f ca="1">TblMili[[#This Row],[Draftees]]</f>
        <v>626</v>
      </c>
      <c r="AC111" s="113">
        <f ca="1">TblProd[[#This Row],[Platinum]]</f>
        <v>687880</v>
      </c>
      <c r="AD111" s="281"/>
      <c r="AE111" s="49">
        <f ca="1">TblExplore[[#This Row],[Land]]-TblExplore[[#This Row],[Land Bonus]]*20</f>
        <v>250</v>
      </c>
      <c r="AF111" s="113">
        <f ca="1">ROUND(IF(TblExplore[[#This Row],[Land-DB]] &gt;= 300, 1000 + 3*((TblExplore[[#This Row],[Land-DB]]-300)^(MAX(MIN(TblExplore[[#This Row],[Land-DB]]^0.0185/1.05,1.121),1.09))), 1000 - (3 * (300-TblExplore[[#This Row],[Land-DB]])))*(1+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44409.249999999738</v>
      </c>
      <c r="AB112" s="113">
        <f ca="1">TblMili[[#This Row],[Draftees]]</f>
        <v>626</v>
      </c>
      <c r="AC112" s="113">
        <f ca="1">TblProd[[#This Row],[Platinum]]</f>
        <v>693366</v>
      </c>
      <c r="AD112" s="281"/>
      <c r="AE112" s="49">
        <f ca="1">TblExplore[[#This Row],[Land]]-TblExplore[[#This Row],[Land Bonus]]*20</f>
        <v>250</v>
      </c>
      <c r="AF112" s="113">
        <f ca="1">ROUND(IF(TblExplore[[#This Row],[Land-DB]] &gt;= 300, 1000 + 3*((TblExplore[[#This Row],[Land-DB]]-300)^(MAX(MIN(TblExplore[[#This Row],[Land-DB]]^0.0185/1.05,1.121),1.09))), 1000 - (3 * (300-TblExplore[[#This Row],[Land-DB]])))*(1+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44409.291666666402</v>
      </c>
      <c r="AB113" s="113">
        <f ca="1">TblMili[[#This Row],[Draftees]]</f>
        <v>626</v>
      </c>
      <c r="AC113" s="113">
        <f ca="1">TblProd[[#This Row],[Platinum]]</f>
        <v>698852</v>
      </c>
      <c r="AD113" s="281"/>
      <c r="AE113" s="49">
        <f ca="1">TblExplore[[#This Row],[Land]]-TblExplore[[#This Row],[Land Bonus]]*20</f>
        <v>250</v>
      </c>
      <c r="AF113" s="113">
        <f ca="1">ROUND(IF(TblExplore[[#This Row],[Land-DB]] &gt;= 300, 1000 + 3*((TblExplore[[#This Row],[Land-DB]]-300)^(MAX(MIN(TblExplore[[#This Row],[Land-DB]]^0.0185/1.05,1.121),1.09))), 1000 - (3 * (300-TblExplore[[#This Row],[Land-DB]])))*(1+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44409.333333333067</v>
      </c>
      <c r="AB114" s="113">
        <f ca="1">TblMili[[#This Row],[Draftees]]</f>
        <v>626</v>
      </c>
      <c r="AC114" s="113">
        <f ca="1">TblProd[[#This Row],[Platinum]]</f>
        <v>704338</v>
      </c>
      <c r="AD114" s="281"/>
      <c r="AE114" s="49">
        <f ca="1">TblExplore[[#This Row],[Land]]-TblExplore[[#This Row],[Land Bonus]]*20</f>
        <v>250</v>
      </c>
      <c r="AF114" s="113">
        <f ca="1">ROUND(IF(TblExplore[[#This Row],[Land-DB]] &gt;= 300, 1000 + 3*((TblExplore[[#This Row],[Land-DB]]-300)^(MAX(MIN(TblExplore[[#This Row],[Land-DB]]^0.0185/1.05,1.121),1.09))), 1000 - (3 * (300-TblExplore[[#This Row],[Land-DB]])))*(1+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44409.374999999731</v>
      </c>
      <c r="AB115" s="113">
        <f ca="1">TblMili[[#This Row],[Draftees]]</f>
        <v>626</v>
      </c>
      <c r="AC115" s="113">
        <f ca="1">TblProd[[#This Row],[Platinum]]</f>
        <v>709824</v>
      </c>
      <c r="AD115" s="281"/>
      <c r="AE115" s="49">
        <f ca="1">TblExplore[[#This Row],[Land]]-TblExplore[[#This Row],[Land Bonus]]*20</f>
        <v>250</v>
      </c>
      <c r="AF115" s="113">
        <f ca="1">ROUND(IF(TblExplore[[#This Row],[Land-DB]] &gt;= 300, 1000 + 3*((TblExplore[[#This Row],[Land-DB]]-300)^(MAX(MIN(TblExplore[[#This Row],[Land-DB]]^0.0185/1.05,1.121),1.09))), 1000 - (3 * (300-TblExplore[[#This Row],[Land-DB]])))*(1+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44409.416666666395</v>
      </c>
      <c r="AB116" s="113">
        <f ca="1">TblMili[[#This Row],[Draftees]]</f>
        <v>626</v>
      </c>
      <c r="AC116" s="113">
        <f ca="1">TblProd[[#This Row],[Platinum]]</f>
        <v>715310</v>
      </c>
      <c r="AD116" s="281"/>
      <c r="AE116" s="49">
        <f ca="1">TblExplore[[#This Row],[Land]]-TblExplore[[#This Row],[Land Bonus]]*20</f>
        <v>250</v>
      </c>
      <c r="AF116" s="113">
        <f ca="1">ROUND(IF(TblExplore[[#This Row],[Land-DB]] &gt;= 300, 1000 + 3*((TblExplore[[#This Row],[Land-DB]]-300)^(MAX(MIN(TblExplore[[#This Row],[Land-DB]]^0.0185/1.05,1.121),1.09))), 1000 - (3 * (300-TblExplore[[#This Row],[Land-DB]])))*(1+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44409.458333333059</v>
      </c>
      <c r="AB117" s="113">
        <f ca="1">TblMili[[#This Row],[Draftees]]</f>
        <v>626</v>
      </c>
      <c r="AC117" s="113">
        <f ca="1">TblProd[[#This Row],[Platinum]]</f>
        <v>720796</v>
      </c>
      <c r="AD117" s="281"/>
      <c r="AE117" s="49">
        <f ca="1">TblExplore[[#This Row],[Land]]-TblExplore[[#This Row],[Land Bonus]]*20</f>
        <v>250</v>
      </c>
      <c r="AF117" s="113">
        <f ca="1">ROUND(IF(TblExplore[[#This Row],[Land-DB]] &gt;= 300, 1000 + 3*((TblExplore[[#This Row],[Land-DB]]-300)^(MAX(MIN(TblExplore[[#This Row],[Land-DB]]^0.0185/1.05,1.121),1.09))), 1000 - (3 * (300-TblExplore[[#This Row],[Land-DB]])))*(1+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44409.499999999724</v>
      </c>
      <c r="AB118" s="113">
        <f ca="1">TblMili[[#This Row],[Draftees]]</f>
        <v>626</v>
      </c>
      <c r="AC118" s="113">
        <f ca="1">TblProd[[#This Row],[Platinum]]</f>
        <v>726282</v>
      </c>
      <c r="AD118" s="281"/>
      <c r="AE118" s="49">
        <f ca="1">TblExplore[[#This Row],[Land]]-TblExplore[[#This Row],[Land Bonus]]*20</f>
        <v>250</v>
      </c>
      <c r="AF118" s="113">
        <f ca="1">ROUND(IF(TblExplore[[#This Row],[Land-DB]] &gt;= 300, 1000 + 3*((TblExplore[[#This Row],[Land-DB]]-300)^(MAX(MIN(TblExplore[[#This Row],[Land-DB]]^0.0185/1.05,1.121),1.09))), 1000 - (3 * (300-TblExplore[[#This Row],[Land-DB]])))*(1+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44409.541666666388</v>
      </c>
      <c r="AB119" s="113">
        <f ca="1">TblMili[[#This Row],[Draftees]]</f>
        <v>626</v>
      </c>
      <c r="AC119" s="113">
        <f ca="1">TblProd[[#This Row],[Platinum]]</f>
        <v>731768</v>
      </c>
      <c r="AD119" s="281"/>
      <c r="AE119" s="49">
        <f ca="1">TblExplore[[#This Row],[Land]]-TblExplore[[#This Row],[Land Bonus]]*20</f>
        <v>250</v>
      </c>
      <c r="AF119" s="113">
        <f ca="1">ROUND(IF(TblExplore[[#This Row],[Land-DB]] &gt;= 300, 1000 + 3*((TblExplore[[#This Row],[Land-DB]]-300)^(MAX(MIN(TblExplore[[#This Row],[Land-DB]]^0.0185/1.05,1.121),1.09))), 1000 - (3 * (300-TblExplore[[#This Row],[Land-DB]])))*(1+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44409.583333333052</v>
      </c>
      <c r="AB120" s="113">
        <f ca="1">TblMili[[#This Row],[Draftees]]</f>
        <v>626</v>
      </c>
      <c r="AC120" s="113">
        <f ca="1">TblProd[[#This Row],[Platinum]]</f>
        <v>737254</v>
      </c>
      <c r="AD120" s="281"/>
      <c r="AE120" s="49">
        <f ca="1">TblExplore[[#This Row],[Land]]-TblExplore[[#This Row],[Land Bonus]]*20</f>
        <v>250</v>
      </c>
      <c r="AF120" s="113">
        <f ca="1">ROUND(IF(TblExplore[[#This Row],[Land-DB]] &gt;= 300, 1000 + 3*((TblExplore[[#This Row],[Land-DB]]-300)^(MAX(MIN(TblExplore[[#This Row],[Land-DB]]^0.0185/1.05,1.121),1.09))), 1000 - (3 * (300-TblExplore[[#This Row],[Land-DB]])))*(1+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44409.624999999716</v>
      </c>
      <c r="AB121" s="113">
        <f ca="1">TblMili[[#This Row],[Draftees]]</f>
        <v>626</v>
      </c>
      <c r="AC121" s="113">
        <f ca="1">TblProd[[#This Row],[Platinum]]</f>
        <v>742740</v>
      </c>
      <c r="AD121" s="281"/>
      <c r="AE121" s="49">
        <f ca="1">TblExplore[[#This Row],[Land]]-TblExplore[[#This Row],[Land Bonus]]*20</f>
        <v>250</v>
      </c>
      <c r="AF121" s="113">
        <f ca="1">ROUND(IF(TblExplore[[#This Row],[Land-DB]] &gt;= 300, 1000 + 3*((TblExplore[[#This Row],[Land-DB]]-300)^(MAX(MIN(TblExplore[[#This Row],[Land-DB]]^0.0185/1.05,1.121),1.09))), 1000 - (3 * (300-TblExplore[[#This Row],[Land-DB]])))*(1+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44409.66666666638</v>
      </c>
      <c r="AB122" s="113">
        <f ca="1">TblMili[[#This Row],[Draftees]]</f>
        <v>626</v>
      </c>
      <c r="AC122" s="113">
        <f ca="1">TblProd[[#This Row],[Platinum]]</f>
        <v>748226</v>
      </c>
      <c r="AD122" s="281"/>
      <c r="AE122" s="49">
        <f ca="1">TblExplore[[#This Row],[Land]]-TblExplore[[#This Row],[Land Bonus]]*20</f>
        <v>250</v>
      </c>
      <c r="AF122" s="113">
        <f ca="1">ROUND(IF(TblExplore[[#This Row],[Land-DB]] &gt;= 300, 1000 + 3*((TblExplore[[#This Row],[Land-DB]]-300)^(MAX(MIN(TblExplore[[#This Row],[Land-DB]]^0.0185/1.05,1.121),1.09))), 1000 - (3 * (300-TblExplore[[#This Row],[Land-DB]])))*(1+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44409.708333333045</v>
      </c>
      <c r="AB123" s="113">
        <f ca="1">TblMili[[#This Row],[Draftees]]</f>
        <v>626</v>
      </c>
      <c r="AC123" s="113">
        <f ca="1">TblProd[[#This Row],[Platinum]]</f>
        <v>753712</v>
      </c>
      <c r="AD123" s="281"/>
      <c r="AE123" s="49">
        <f ca="1">TblExplore[[#This Row],[Land]]-TblExplore[[#This Row],[Land Bonus]]*20</f>
        <v>250</v>
      </c>
      <c r="AF123" s="113">
        <f ca="1">ROUND(IF(TblExplore[[#This Row],[Land-DB]] &gt;= 300, 1000 + 3*((TblExplore[[#This Row],[Land-DB]]-300)^(MAX(MIN(TblExplore[[#This Row],[Land-DB]]^0.0185/1.05,1.121),1.09))), 1000 - (3 * (300-TblExplore[[#This Row],[Land-DB]])))*(1+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311</v>
      </c>
      <c r="M124" s="295" t="s">
        <v>314</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44409.749999999709</v>
      </c>
      <c r="AB124" s="113">
        <f ca="1">TblMili[[#This Row],[Draftees]]</f>
        <v>626</v>
      </c>
      <c r="AC124" s="113">
        <f ca="1">TblProd[[#This Row],[Platinum]]</f>
        <v>759198</v>
      </c>
      <c r="AD124" s="281"/>
      <c r="AE124" s="49">
        <f ca="1">TblExplore[[#This Row],[Land]]-TblExplore[[#This Row],[Land Bonus]]*20</f>
        <v>250</v>
      </c>
      <c r="AF124" s="113">
        <f ca="1">ROUND(IF(TblExplore[[#This Row],[Land-DB]] &gt;= 300, 1000 + 3*((TblExplore[[#This Row],[Land-DB]]-300)^(MAX(MIN(TblExplore[[#This Row],[Land-DB]]^0.0185/1.05,1.121),1.09))), 1000 - (3 * (300-TblExplore[[#This Row],[Land-DB]])))*(1+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44409.791666666373</v>
      </c>
      <c r="AB125" s="113">
        <f ca="1">TblMili[[#This Row],[Draftees]]</f>
        <v>626</v>
      </c>
      <c r="AC125" s="113">
        <f ca="1">TblProd[[#This Row],[Platinum]]</f>
        <v>764684</v>
      </c>
      <c r="AD125" s="281"/>
      <c r="AE125" s="49">
        <f ca="1">TblExplore[[#This Row],[Land]]-TblExplore[[#This Row],[Land Bonus]]*20</f>
        <v>250</v>
      </c>
      <c r="AF125" s="113">
        <f ca="1">ROUND(IF(TblExplore[[#This Row],[Land-DB]] &gt;= 300, 1000 + 3*((TblExplore[[#This Row],[Land-DB]]-300)^(MAX(MIN(TblExplore[[#This Row],[Land-DB]]^0.0185/1.05,1.121),1.09))), 1000 - (3 * (300-TblExplore[[#This Row],[Land-DB]])))*(1+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44409.833333333037</v>
      </c>
      <c r="AB126" s="113">
        <f ca="1">TblMili[[#This Row],[Draftees]]</f>
        <v>626</v>
      </c>
      <c r="AC126" s="113">
        <f ca="1">TblProd[[#This Row],[Platinum]]</f>
        <v>770170</v>
      </c>
      <c r="AD126" s="281"/>
      <c r="AE126" s="49">
        <f ca="1">TblExplore[[#This Row],[Land]]-TblExplore[[#This Row],[Land Bonus]]*20</f>
        <v>250</v>
      </c>
      <c r="AF126" s="113">
        <f ca="1">ROUND(IF(TblExplore[[#This Row],[Land-DB]] &gt;= 300, 1000 + 3*((TblExplore[[#This Row],[Land-DB]]-300)^(MAX(MIN(TblExplore[[#This Row],[Land-DB]]^0.0185/1.05,1.121),1.09))), 1000 - (3 * (300-TblExplore[[#This Row],[Land-DB]])))*(1+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44409.874999999702</v>
      </c>
      <c r="AB127" s="113">
        <f ca="1">TblMili[[#This Row],[Draftees]]</f>
        <v>626</v>
      </c>
      <c r="AC127" s="113">
        <f ca="1">TblProd[[#This Row],[Platinum]]</f>
        <v>775656</v>
      </c>
      <c r="AD127" s="281"/>
      <c r="AE127" s="49">
        <f ca="1">TblExplore[[#This Row],[Land]]-TblExplore[[#This Row],[Land Bonus]]*20</f>
        <v>250</v>
      </c>
      <c r="AF127" s="113">
        <f ca="1">ROUND(IF(TblExplore[[#This Row],[Land-DB]] &gt;= 300, 1000 + 3*((TblExplore[[#This Row],[Land-DB]]-300)^(MAX(MIN(TblExplore[[#This Row],[Land-DB]]^0.0185/1.05,1.121),1.09))), 1000 - (3 * (300-TblExplore[[#This Row],[Land-DB]])))*(1+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44409.916666666366</v>
      </c>
      <c r="AB128" s="113">
        <f ca="1">TblMili[[#This Row],[Draftees]]</f>
        <v>626</v>
      </c>
      <c r="AC128" s="113">
        <f ca="1">TblProd[[#This Row],[Platinum]]</f>
        <v>781142</v>
      </c>
      <c r="AD128" s="281"/>
      <c r="AE128" s="49">
        <f ca="1">TblExplore[[#This Row],[Land]]-TblExplore[[#This Row],[Land Bonus]]*20</f>
        <v>250</v>
      </c>
      <c r="AF128" s="113">
        <f ca="1">ROUND(IF(TblExplore[[#This Row],[Land-DB]] &gt;= 300, 1000 + 3*((TblExplore[[#This Row],[Land-DB]]-300)^(MAX(MIN(TblExplore[[#This Row],[Land-DB]]^0.0185/1.05,1.121),1.09))), 1000 - (3 * (300-TblExplore[[#This Row],[Land-DB]])))*(1+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44409.95833333303</v>
      </c>
      <c r="AB129" s="113">
        <f ca="1">TblMili[[#This Row],[Draftees]]</f>
        <v>626</v>
      </c>
      <c r="AC129" s="113">
        <f ca="1">TblProd[[#This Row],[Platinum]]</f>
        <v>786628</v>
      </c>
      <c r="AD129" s="281"/>
      <c r="AE129" s="49">
        <f ca="1">TblExplore[[#This Row],[Land]]-TblExplore[[#This Row],[Land Bonus]]*20</f>
        <v>250</v>
      </c>
      <c r="AF129" s="113">
        <f ca="1">ROUND(IF(TblExplore[[#This Row],[Land-DB]] &gt;= 300, 1000 + 3*((TblExplore[[#This Row],[Land-DB]]-300)^(MAX(MIN(TblExplore[[#This Row],[Land-DB]]^0.0185/1.05,1.121),1.09))), 1000 - (3 * (300-TblExplore[[#This Row],[Land-DB]])))*(1+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44409.999999999694</v>
      </c>
      <c r="AB130" s="113">
        <f ca="1">TblMili[[#This Row],[Draftees]]</f>
        <v>626</v>
      </c>
      <c r="AC130" s="113">
        <f ca="1">TblProd[[#This Row],[Platinum]]</f>
        <v>792114</v>
      </c>
      <c r="AD130" s="281"/>
      <c r="AE130" s="49">
        <f ca="1">TblExplore[[#This Row],[Land]]-TblExplore[[#This Row],[Land Bonus]]*20</f>
        <v>250</v>
      </c>
      <c r="AF130" s="113">
        <f ca="1">ROUND(IF(TblExplore[[#This Row],[Land-DB]] &gt;= 300, 1000 + 3*((TblExplore[[#This Row],[Land-DB]]-300)^(MAX(MIN(TblExplore[[#This Row],[Land-DB]]^0.0185/1.05,1.121),1.09))), 1000 - (3 * (300-TblExplore[[#This Row],[Land-DB]])))*(1+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44410.041666666359</v>
      </c>
      <c r="AB131" s="113">
        <f ca="1">TblMili[[#This Row],[Draftees]]</f>
        <v>626</v>
      </c>
      <c r="AC131" s="113">
        <f ca="1">TblProd[[#This Row],[Platinum]]</f>
        <v>797600</v>
      </c>
      <c r="AD131" s="281"/>
      <c r="AE131" s="49">
        <f ca="1">TblExplore[[#This Row],[Land]]-TblExplore[[#This Row],[Land Bonus]]*20</f>
        <v>250</v>
      </c>
      <c r="AF131" s="113">
        <f ca="1">ROUND(IF(TblExplore[[#This Row],[Land-DB]] &gt;= 300, 1000 + 3*((TblExplore[[#This Row],[Land-DB]]-300)^(MAX(MIN(TblExplore[[#This Row],[Land-DB]]^0.0185/1.05,1.121),1.09))), 1000 - (3 * (300-TblExplore[[#This Row],[Land-DB]])))*(1+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44410.083333333023</v>
      </c>
      <c r="AB132" s="113">
        <f ca="1">TblMili[[#This Row],[Draftees]]</f>
        <v>626</v>
      </c>
      <c r="AC132" s="113">
        <f ca="1">TblProd[[#This Row],[Platinum]]</f>
        <v>803086</v>
      </c>
      <c r="AD132" s="281"/>
      <c r="AE132" s="49">
        <f ca="1">TblExplore[[#This Row],[Land]]-TblExplore[[#This Row],[Land Bonus]]*20</f>
        <v>250</v>
      </c>
      <c r="AF132" s="113">
        <f ca="1">ROUND(IF(TblExplore[[#This Row],[Land-DB]] &gt;= 300, 1000 + 3*((TblExplore[[#This Row],[Land-DB]]-300)^(MAX(MIN(TblExplore[[#This Row],[Land-DB]]^0.0185/1.05,1.121),1.09))), 1000 - (3 * (300-TblExplore[[#This Row],[Land-DB]])))*(1+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44410.124999999687</v>
      </c>
      <c r="AB133" s="113">
        <f ca="1">TblMili[[#This Row],[Draftees]]</f>
        <v>626</v>
      </c>
      <c r="AC133" s="113">
        <f ca="1">TblProd[[#This Row],[Platinum]]</f>
        <v>808572</v>
      </c>
      <c r="AD133" s="281"/>
      <c r="AE133" s="49">
        <f ca="1">TblExplore[[#This Row],[Land]]-TblExplore[[#This Row],[Land Bonus]]*20</f>
        <v>250</v>
      </c>
      <c r="AF133" s="113">
        <f ca="1">ROUND(IF(TblExplore[[#This Row],[Land-DB]] &gt;= 300, 1000 + 3*((TblExplore[[#This Row],[Land-DB]]-300)^(MAX(MIN(TblExplore[[#This Row],[Land-DB]]^0.0185/1.05,1.121),1.09))), 1000 - (3 * (300-TblExplore[[#This Row],[Land-DB]])))*(1+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44410.166666666351</v>
      </c>
      <c r="AB134" s="113">
        <f ca="1">TblMili[[#This Row],[Draftees]]</f>
        <v>626</v>
      </c>
      <c r="AC134" s="113">
        <f ca="1">TblProd[[#This Row],[Platinum]]</f>
        <v>814058</v>
      </c>
      <c r="AD134" s="281"/>
      <c r="AE134" s="49">
        <f ca="1">TblExplore[[#This Row],[Land]]-TblExplore[[#This Row],[Land Bonus]]*20</f>
        <v>250</v>
      </c>
      <c r="AF134" s="113">
        <f ca="1">ROUND(IF(TblExplore[[#This Row],[Land-DB]] &gt;= 300, 1000 + 3*((TblExplore[[#This Row],[Land-DB]]-300)^(MAX(MIN(TblExplore[[#This Row],[Land-DB]]^0.0185/1.05,1.121),1.09))), 1000 - (3 * (300-TblExplore[[#This Row],[Land-DB]])))*(1+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44410.208333333016</v>
      </c>
      <c r="AB135" s="113">
        <f ca="1">TblMili[[#This Row],[Draftees]]</f>
        <v>626</v>
      </c>
      <c r="AC135" s="113">
        <f ca="1">TblProd[[#This Row],[Platinum]]</f>
        <v>819544</v>
      </c>
      <c r="AD135" s="281"/>
      <c r="AE135" s="49">
        <f ca="1">TblExplore[[#This Row],[Land]]-TblExplore[[#This Row],[Land Bonus]]*20</f>
        <v>250</v>
      </c>
      <c r="AF135" s="113">
        <f ca="1">ROUND(IF(TblExplore[[#This Row],[Land-DB]] &gt;= 300, 1000 + 3*((TblExplore[[#This Row],[Land-DB]]-300)^(MAX(MIN(TblExplore[[#This Row],[Land-DB]]^0.0185/1.05,1.121),1.09))), 1000 - (3 * (300-TblExplore[[#This Row],[Land-DB]])))*(1+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44410.24999999968</v>
      </c>
      <c r="AB136" s="113">
        <f ca="1">TblMili[[#This Row],[Draftees]]</f>
        <v>626</v>
      </c>
      <c r="AC136" s="113">
        <f ca="1">TblProd[[#This Row],[Platinum]]</f>
        <v>825030</v>
      </c>
      <c r="AD136" s="281"/>
      <c r="AE136" s="49">
        <f ca="1">TblExplore[[#This Row],[Land]]-TblExplore[[#This Row],[Land Bonus]]*20</f>
        <v>250</v>
      </c>
      <c r="AF136" s="113">
        <f ca="1">ROUND(IF(TblExplore[[#This Row],[Land-DB]] &gt;= 300, 1000 + 3*((TblExplore[[#This Row],[Land-DB]]-300)^(MAX(MIN(TblExplore[[#This Row],[Land-DB]]^0.0185/1.05,1.121),1.09))), 1000 - (3 * (300-TblExplore[[#This Row],[Land-DB]])))*(1+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85" t="s">
        <v>327</v>
      </c>
      <c r="C1269" s="585"/>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0" priority="13" stopIfTrue="1">
      <formula>$M26&lt;$M17</formula>
    </cfRule>
    <cfRule type="expression" dxfId="469" priority="14" stopIfTrue="1">
      <formula>$M17&lt;$M26</formula>
    </cfRule>
  </conditionalFormatting>
  <conditionalFormatting sqref="C1270 D1269:AJ1270 A1269:B1270">
    <cfRule type="expression" dxfId="468" priority="11" stopIfTrue="1">
      <formula>$B$1270&gt;144</formula>
    </cfRule>
  </conditionalFormatting>
  <conditionalFormatting sqref="A4:J136 N4:AJ136">
    <cfRule type="expression" dxfId="467" priority="1" stopIfTrue="1">
      <formula>ROW()-3=$B$1270</formula>
    </cfRule>
  </conditionalFormatting>
  <conditionalFormatting sqref="D4:J136">
    <cfRule type="expression" dxfId="466" priority="2" stopIfTrue="1">
      <formula>OR(ROW()-3=$B$1270,D4&lt;0)</formula>
    </cfRule>
  </conditionalFormatting>
  <conditionalFormatting sqref="A1:XFD3">
    <cfRule type="expression" dxfId="465" priority="16" stopIfTrue="1">
      <formula>$B$1270&lt;0</formula>
    </cfRule>
  </conditionalFormatting>
  <conditionalFormatting sqref="A4:AJ136">
    <cfRule type="expression" dxfId="464" priority="3">
      <formula>$A4=73</formula>
    </cfRule>
    <cfRule type="expression" dxfId="463"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315</v>
      </c>
      <c r="M1" s="72"/>
      <c r="N1" s="72"/>
      <c r="O1" s="72"/>
      <c r="P1" s="72"/>
      <c r="Q1" s="72"/>
      <c r="R1" s="72"/>
      <c r="S1" s="72"/>
      <c r="T1" s="72"/>
      <c r="U1" s="72"/>
      <c r="V1" s="72" t="s">
        <v>204</v>
      </c>
      <c r="W1" s="72"/>
      <c r="X1" s="72" t="s">
        <v>33</v>
      </c>
      <c r="Y1" s="72"/>
      <c r="Z1" s="72"/>
      <c r="AA1" s="72" t="s">
        <v>203</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188</v>
      </c>
      <c r="E3" s="176" t="s">
        <v>59</v>
      </c>
      <c r="F3" s="176" t="s">
        <v>60</v>
      </c>
      <c r="G3" s="176" t="s">
        <v>61</v>
      </c>
      <c r="H3" s="176" t="s">
        <v>62</v>
      </c>
      <c r="I3" s="176" t="s">
        <v>801</v>
      </c>
      <c r="J3" s="176" t="s">
        <v>0</v>
      </c>
      <c r="K3" s="176" t="s">
        <v>322</v>
      </c>
      <c r="L3" s="176" t="s">
        <v>1063</v>
      </c>
      <c r="M3" s="176" t="s">
        <v>1064</v>
      </c>
      <c r="N3" s="176" t="s">
        <v>1065</v>
      </c>
      <c r="O3" s="176" t="s">
        <v>1066</v>
      </c>
      <c r="P3" s="176" t="s">
        <v>1067</v>
      </c>
      <c r="Q3" s="176" t="s">
        <v>1068</v>
      </c>
      <c r="R3" s="176" t="s">
        <v>1069</v>
      </c>
      <c r="S3" s="176" t="s">
        <v>313</v>
      </c>
      <c r="T3" s="176" t="s">
        <v>205</v>
      </c>
      <c r="U3" s="176" t="s">
        <v>802</v>
      </c>
      <c r="V3" s="176" t="s">
        <v>2</v>
      </c>
      <c r="W3" s="176" t="s">
        <v>803</v>
      </c>
      <c r="X3" s="176" t="s">
        <v>57</v>
      </c>
      <c r="Y3" s="176" t="s">
        <v>934</v>
      </c>
      <c r="Z3" s="176" t="s">
        <v>821</v>
      </c>
      <c r="AA3" s="176" t="s">
        <v>271</v>
      </c>
      <c r="AB3" s="176" t="s">
        <v>822</v>
      </c>
      <c r="AC3" s="176" t="s">
        <v>201</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44404.75</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44404.791666666664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44404.833333333328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44404.874999999993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44404.916666666657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44404.958333333321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44404.999999999985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44405.04166666665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44405.083333333314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44405.124999999978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44405.166666666642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44405.208333333307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44405.249999999971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44405.291666666635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44405.333333333299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44405.374999999964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44405.416666666628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44405.458333333292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44405.499999999956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44405.541666666621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44405.583333333285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44405.624999999949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44405.666666666613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44405.708333333278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44405.749999999942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44405.791666666606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44405.83333333327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44405.874999999935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44405.916666666599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44405.958333333263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44405.999999999927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44406.041666666591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44406.083333333256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44406.12499999992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44406.166666666584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44406.208333333248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44406.249999999913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44406.291666666577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44406.333333333241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44406.374999999905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44406.41666666657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44406.458333333234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44406.499999999898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44406.541666666562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44406.583333333227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44406.624999999891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44406.666666666555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44406.708333333219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44406.749999999884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44406.791666666548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44406.833333333212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44406.874999999876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44406.916666666541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44406.958333333205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44406.999999999869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44407.041666666533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44407.083333333198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44407.124999999862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44407.166666666526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44407.20833333319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44407.249999999854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44407.291666666519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44407.333333333183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44407.374999999847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44407.416666666511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44407.458333333176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44407.49999999984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44407.541666666504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44407.583333333168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44407.624999999833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44407.666666666497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44407.708333333161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44407.749999999825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44407.79166666649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44407.833333333154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44407.874999999818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44407.916666666482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44407.958333333147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44407.999999999811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44408.041666666475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44408.083333333139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44408.124999999804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44408.166666666468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44408.208333333132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44408.249999999796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44408.291666666461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44408.333333333125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44408.374999999789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44408.416666666453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44408.458333333117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44408.499999999782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44408.541666666446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44408.58333333311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44408.624999999774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44408.666666666439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44408.708333333103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44408.749999999767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44408.791666666431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44408.833333333096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44408.87499999976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44408.916666666424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44408.958333333088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44408.999999999753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44409.041666666417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44409.083333333081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44409.124999999745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44409.16666666641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44409.208333333074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44409.249999999738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44409.291666666402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44409.333333333067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44409.374999999731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44409.416666666395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44409.458333333059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44409.499999999724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44409.541666666388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44409.583333333052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44409.624999999716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44409.66666666638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44409.708333333045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44409.749999999709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44409.791666666373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44409.833333333037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44409.874999999702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44409.916666666366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44409.95833333303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44409.999999999694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44410.041666666359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44410.083333333023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44410.124999999687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44410.166666666351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44410.208333333016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44410.24999999968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85" t="s">
        <v>327</v>
      </c>
      <c r="B1269" s="585"/>
      <c r="I1269" s="308" t="s">
        <v>317</v>
      </c>
      <c r="L1269" s="309"/>
      <c r="M1269" s="309">
        <v>-10</v>
      </c>
      <c r="N1269" s="309">
        <v>10</v>
      </c>
      <c r="O1269" s="309"/>
      <c r="P1269" s="309"/>
      <c r="Q1269" s="309"/>
      <c r="R1269" s="309"/>
    </row>
    <row r="1270" spans="1:18" x14ac:dyDescent="0.2">
      <c r="A1270" s="174">
        <f>Overview!E17</f>
        <v>0</v>
      </c>
      <c r="B1270" s="174"/>
      <c r="L1270" s="594" t="s">
        <v>316</v>
      </c>
      <c r="M1270" s="541"/>
      <c r="N1270" s="541"/>
      <c r="O1270" s="541"/>
      <c r="P1270" s="541"/>
      <c r="Q1270" s="541"/>
      <c r="R1270" s="541"/>
    </row>
  </sheetData>
  <mergeCells count="2">
    <mergeCell ref="L1270:R1270"/>
    <mergeCell ref="A1269:B1269"/>
  </mergeCells>
  <phoneticPr fontId="0" type="noConversion"/>
  <conditionalFormatting sqref="A1271:AC60158 A137:AC1268">
    <cfRule type="expression" dxfId="423" priority="14" stopIfTrue="1">
      <formula>ROW()-2=#REF!</formula>
    </cfRule>
  </conditionalFormatting>
  <conditionalFormatting sqref="A1269:AC1270">
    <cfRule type="expression" dxfId="422" priority="15" stopIfTrue="1">
      <formula>$A$1270&gt;144</formula>
    </cfRule>
  </conditionalFormatting>
  <conditionalFormatting sqref="A1:AC3">
    <cfRule type="expression" dxfId="421" priority="19" stopIfTrue="1">
      <formula>$A$1270&lt;0</formula>
    </cfRule>
  </conditionalFormatting>
  <conditionalFormatting sqref="A4:AC136">
    <cfRule type="expression" dxfId="420" priority="1" stopIfTrue="1">
      <formula>ROW()-3=$A$1270</formula>
    </cfRule>
    <cfRule type="expression" dxfId="419" priority="2" stopIfTrue="1">
      <formula>OR(AND(ROW()-3=$A$1270,A4="Ok",XFD4&lt;&gt;0),A4="Nope")</formula>
    </cfRule>
    <cfRule type="expression" dxfId="418" priority="4">
      <formula>$J4=73</formula>
    </cfRule>
    <cfRule type="expression" dxfId="417" priority="7">
      <formula>ROUND(($J4-1)/12,0)=INT($J4-1)/12</formula>
    </cfRule>
  </conditionalFormatting>
  <conditionalFormatting sqref="T76">
    <cfRule type="expression" dxfId="416" priority="13" stopIfTrue="1">
      <formula>S76=0</formula>
    </cfRule>
  </conditionalFormatting>
  <conditionalFormatting sqref="B4:H136">
    <cfRule type="cellIs" dxfId="415"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6" t="s">
        <v>31</v>
      </c>
      <c r="P1" s="586"/>
      <c r="Q1" s="586"/>
      <c r="R1" s="596" t="s">
        <v>487</v>
      </c>
      <c r="S1" s="586"/>
      <c r="T1" s="310"/>
      <c r="U1" s="586" t="s">
        <v>488</v>
      </c>
      <c r="V1" s="586"/>
      <c r="W1" s="90"/>
      <c r="X1" s="586" t="s">
        <v>24</v>
      </c>
      <c r="Y1" s="586"/>
      <c r="Z1" s="586"/>
      <c r="AA1" s="174"/>
      <c r="AB1" s="90"/>
      <c r="AC1" s="90"/>
      <c r="AD1" s="90"/>
      <c r="AE1" s="90"/>
      <c r="AF1" s="90" t="s">
        <v>192</v>
      </c>
      <c r="AG1" s="90"/>
      <c r="AH1" s="90"/>
      <c r="AI1" s="90"/>
      <c r="AJ1" s="90"/>
      <c r="AK1" s="90"/>
      <c r="AL1" s="90"/>
      <c r="AM1" s="90"/>
      <c r="AN1" s="90" t="s">
        <v>77</v>
      </c>
      <c r="AO1" s="90"/>
      <c r="AP1" s="90" t="s">
        <v>33</v>
      </c>
      <c r="AQ1" s="90"/>
      <c r="AR1" s="90"/>
      <c r="AS1" s="90"/>
      <c r="AT1" s="90"/>
      <c r="AU1" s="90" t="s">
        <v>197</v>
      </c>
      <c r="AV1" s="90"/>
      <c r="AW1" s="90"/>
      <c r="AX1" s="90"/>
      <c r="AY1" s="90"/>
      <c r="AZ1" s="90"/>
      <c r="BA1" s="90"/>
      <c r="BB1" s="90"/>
      <c r="BC1" s="90"/>
      <c r="BD1" s="90"/>
      <c r="BE1" s="90"/>
      <c r="BF1" s="586" t="s">
        <v>505</v>
      </c>
      <c r="BG1" s="586"/>
      <c r="BH1" s="586"/>
      <c r="BI1" s="586"/>
      <c r="BJ1" s="586"/>
      <c r="BK1" s="586"/>
      <c r="BL1" s="586"/>
      <c r="BM1" s="586"/>
      <c r="BN1" s="587"/>
      <c r="BO1" s="587"/>
      <c r="BP1" s="587"/>
      <c r="BQ1" s="90"/>
      <c r="BR1" s="592" t="s">
        <v>309</v>
      </c>
      <c r="BS1" s="595"/>
      <c r="BT1" s="595"/>
      <c r="BU1" s="174"/>
      <c r="BV1" s="174"/>
      <c r="BW1" s="276"/>
      <c r="BX1" s="276"/>
      <c r="BY1" s="174"/>
      <c r="BZ1" s="174"/>
      <c r="CA1" s="174"/>
      <c r="CB1" s="174"/>
      <c r="CC1" s="174"/>
      <c r="CD1" s="174"/>
      <c r="CE1" s="174"/>
      <c r="CF1" s="174"/>
      <c r="CG1" s="90"/>
      <c r="CH1" s="90"/>
      <c r="CI1" s="90"/>
      <c r="CJ1" s="586" t="s">
        <v>323</v>
      </c>
      <c r="CK1" s="586"/>
      <c r="CL1" s="586"/>
      <c r="CM1" s="587"/>
      <c r="CN1" s="587"/>
      <c r="CO1" s="587"/>
      <c r="CP1" s="587"/>
      <c r="CQ1" s="587"/>
      <c r="CR1" s="587"/>
      <c r="CS1" s="67"/>
      <c r="CT1" s="67"/>
      <c r="CU1" s="67"/>
      <c r="CV1" s="67"/>
      <c r="CW1" s="67"/>
      <c r="CX1" s="67"/>
      <c r="CY1" s="90"/>
      <c r="CZ1" s="90"/>
      <c r="DA1" s="90" t="s">
        <v>265</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INDEX(Constants!A130:B149,MATCH(race,Constants!A130:A149,0),2)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199</v>
      </c>
      <c r="D3" s="176" t="s">
        <v>801</v>
      </c>
      <c r="E3" s="176" t="s">
        <v>797</v>
      </c>
      <c r="F3" s="176" t="s">
        <v>798</v>
      </c>
      <c r="G3" s="176" t="s">
        <v>799</v>
      </c>
      <c r="H3" s="176" t="s">
        <v>800</v>
      </c>
      <c r="I3" s="176" t="s">
        <v>25</v>
      </c>
      <c r="J3" s="176" t="s">
        <v>26</v>
      </c>
      <c r="K3" s="176" t="s">
        <v>27</v>
      </c>
      <c r="L3" s="176" t="s">
        <v>802</v>
      </c>
      <c r="M3" s="176" t="s">
        <v>242</v>
      </c>
      <c r="N3" s="176" t="s">
        <v>803</v>
      </c>
      <c r="O3" s="176" t="s">
        <v>200</v>
      </c>
      <c r="P3" s="176" t="s">
        <v>832</v>
      </c>
      <c r="Q3" s="176" t="s">
        <v>239</v>
      </c>
      <c r="R3" s="314" t="s">
        <v>489</v>
      </c>
      <c r="S3" s="176" t="s">
        <v>486</v>
      </c>
      <c r="T3" s="176" t="s">
        <v>833</v>
      </c>
      <c r="U3" s="315" t="s">
        <v>901</v>
      </c>
      <c r="V3" s="176" t="s">
        <v>902</v>
      </c>
      <c r="W3" s="176" t="s">
        <v>1</v>
      </c>
      <c r="X3" s="176" t="s">
        <v>191</v>
      </c>
      <c r="Y3" s="176" t="s">
        <v>190</v>
      </c>
      <c r="Z3" s="176" t="s">
        <v>24</v>
      </c>
      <c r="AA3" s="176" t="s">
        <v>821</v>
      </c>
      <c r="AB3" s="176" t="s">
        <v>195</v>
      </c>
      <c r="AC3" s="176" t="s">
        <v>822</v>
      </c>
      <c r="AD3" s="176" t="s">
        <v>887</v>
      </c>
      <c r="AE3" s="176" t="s">
        <v>322</v>
      </c>
      <c r="AF3" s="176" t="s">
        <v>814</v>
      </c>
      <c r="AG3" s="176" t="s">
        <v>815</v>
      </c>
      <c r="AH3" s="176" t="s">
        <v>816</v>
      </c>
      <c r="AI3" s="176" t="s">
        <v>817</v>
      </c>
      <c r="AJ3" s="176" t="s">
        <v>818</v>
      </c>
      <c r="AK3" s="176" t="s">
        <v>819</v>
      </c>
      <c r="AL3" s="176" t="s">
        <v>820</v>
      </c>
      <c r="AM3" s="176" t="s">
        <v>823</v>
      </c>
      <c r="AN3" s="176" t="s">
        <v>2</v>
      </c>
      <c r="AO3" s="316" t="s">
        <v>1044</v>
      </c>
      <c r="AP3" s="176" t="s">
        <v>834</v>
      </c>
      <c r="AQ3" s="316" t="s">
        <v>1045</v>
      </c>
      <c r="AR3" s="176" t="s">
        <v>1084</v>
      </c>
      <c r="AS3" s="176" t="s">
        <v>1086</v>
      </c>
      <c r="AT3" s="176" t="s">
        <v>805</v>
      </c>
      <c r="AU3" s="176" t="s">
        <v>824</v>
      </c>
      <c r="AV3" s="176" t="s">
        <v>825</v>
      </c>
      <c r="AW3" s="176" t="s">
        <v>826</v>
      </c>
      <c r="AX3" s="176" t="s">
        <v>827</v>
      </c>
      <c r="AY3" s="176" t="s">
        <v>828</v>
      </c>
      <c r="AZ3" s="176" t="s">
        <v>829</v>
      </c>
      <c r="BA3" s="176" t="s">
        <v>830</v>
      </c>
      <c r="BB3" s="176" t="s">
        <v>831</v>
      </c>
      <c r="BC3" s="176" t="s">
        <v>806</v>
      </c>
      <c r="BD3" s="176" t="s">
        <v>243</v>
      </c>
      <c r="BE3" s="176" t="s">
        <v>365</v>
      </c>
      <c r="BF3" s="176" t="s">
        <v>506</v>
      </c>
      <c r="BG3" s="176" t="s">
        <v>507</v>
      </c>
      <c r="BH3" s="176" t="s">
        <v>508</v>
      </c>
      <c r="BI3" s="176" t="s">
        <v>509</v>
      </c>
      <c r="BJ3" s="176" t="s">
        <v>510</v>
      </c>
      <c r="BK3" s="176" t="s">
        <v>511</v>
      </c>
      <c r="BL3" s="176" t="s">
        <v>512</v>
      </c>
      <c r="BM3" s="176" t="s">
        <v>513</v>
      </c>
      <c r="BN3" s="176" t="s">
        <v>930</v>
      </c>
      <c r="BO3" s="176" t="s">
        <v>931</v>
      </c>
      <c r="BP3" s="176" t="s">
        <v>932</v>
      </c>
      <c r="BQ3" s="176" t="s">
        <v>933</v>
      </c>
      <c r="BR3" s="176" t="s">
        <v>256</v>
      </c>
      <c r="BS3" s="176" t="s">
        <v>308</v>
      </c>
      <c r="BT3" s="176" t="s">
        <v>127</v>
      </c>
      <c r="BU3" s="176" t="s">
        <v>1047</v>
      </c>
      <c r="BV3" s="176" t="s">
        <v>1046</v>
      </c>
      <c r="BW3" s="176" t="s">
        <v>143</v>
      </c>
      <c r="BX3" s="176" t="s">
        <v>135</v>
      </c>
      <c r="BY3" s="176" t="s">
        <v>151</v>
      </c>
      <c r="BZ3" s="176" t="s">
        <v>807</v>
      </c>
      <c r="CA3" s="176" t="s">
        <v>339</v>
      </c>
      <c r="CB3" s="176" t="s">
        <v>340</v>
      </c>
      <c r="CC3" s="176" t="s">
        <v>344</v>
      </c>
      <c r="CD3" s="176" t="s">
        <v>345</v>
      </c>
      <c r="CE3" s="176" t="s">
        <v>147</v>
      </c>
      <c r="CF3" s="176" t="s">
        <v>515</v>
      </c>
      <c r="CG3" s="317" t="s">
        <v>808</v>
      </c>
      <c r="CH3" s="317" t="s">
        <v>809</v>
      </c>
      <c r="CI3" s="317" t="s">
        <v>810</v>
      </c>
      <c r="CJ3" s="176" t="s">
        <v>1048</v>
      </c>
      <c r="CK3" s="176" t="s">
        <v>916</v>
      </c>
      <c r="CL3" s="176" t="s">
        <v>917</v>
      </c>
      <c r="CM3" s="176" t="s">
        <v>918</v>
      </c>
      <c r="CN3" s="176" t="s">
        <v>919</v>
      </c>
      <c r="CO3" s="176" t="s">
        <v>920</v>
      </c>
      <c r="CP3" s="176" t="s">
        <v>921</v>
      </c>
      <c r="CQ3" s="176" t="s">
        <v>922</v>
      </c>
      <c r="CR3" s="176" t="s">
        <v>923</v>
      </c>
      <c r="CS3" s="176" t="s">
        <v>924</v>
      </c>
      <c r="CT3" s="176" t="s">
        <v>925</v>
      </c>
      <c r="CU3" s="176" t="s">
        <v>926</v>
      </c>
      <c r="CV3" s="317" t="s">
        <v>811</v>
      </c>
      <c r="CW3" s="317" t="s">
        <v>812</v>
      </c>
      <c r="CX3" s="317" t="s">
        <v>813</v>
      </c>
      <c r="CY3" s="176" t="s">
        <v>927</v>
      </c>
      <c r="CZ3" s="176" t="s">
        <v>1087</v>
      </c>
      <c r="DA3" s="176" t="s">
        <v>928</v>
      </c>
      <c r="DB3" s="176" t="s">
        <v>929</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3]]*(elite1_base_op+dark_elf*TblMili[[#This Row],[Adept]])+TblMili[[#This Row],[Unit 4]]*(elite2_base_op+icekin*TblMili[[#This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44404.75</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44404.75</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0.66666666666666663</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Row],[Adept]]+Races!$E$47,TblMili[[#This Row],[Column35]]+Races!$F$47),6)  +  0.45 * MIN(MIN(TblMili[[#This Row],[Adept]]+Races!$E$47,TblMili[[#This Row],[Column35]]+Races!$F$47),6)  +  0.2 * ( MAX(TblMili[[#This Row],[Adept]]+Races!$E$47-6,0) + MAX(TblMili[[#This Row],[Column35]]+Races!$F$47-6,0)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3]]*(elite1_base_op+dark_elf*TblMili[[#This Row],[Adept]])+TblMili[[#This Row],[Unit 4]]*(elite2_base_op+icekin*TblMili[[#This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44404.791666666664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44404.791666666664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0.66666666666666663</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Row],[Adept]]+Races!$E$47,TblMili[[#This Row],[Column35]]+Races!$F$47),6)  +  0.45 * MIN(MIN(TblMili[[#This Row],[Adept]]+Races!$E$47,TblMili[[#This Row],[Column35]]+Races!$F$47),6)  +  0.2 * ( MAX(TblMili[[#This Row],[Adept]]+Races!$E$47-6,0) + MAX(TblMili[[#This Row],[Column35]]+Races!$F$47-6,0)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3]]*(elite1_base_op+dark_elf*TblMili[[#This Row],[Adept]])+TblMili[[#This Row],[Unit 4]]*(elite2_base_op+icekin*TblMili[[#This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44404.833333333328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44404.833333333328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0.66666666666666663</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Row],[Adept]]+Races!$E$47,TblMili[[#This Row],[Column35]]+Races!$F$47),6)  +  0.45 * MIN(MIN(TblMili[[#This Row],[Adept]]+Races!$E$47,TblMili[[#This Row],[Column35]]+Races!$F$47),6)  +  0.2 * ( MAX(TblMili[[#This Row],[Adept]]+Races!$E$47-6,0) + MAX(TblMili[[#This Row],[Column35]]+Races!$F$47-6,0)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3]]*(elite1_base_op+dark_elf*TblMili[[#This Row],[Adept]])+TblMili[[#This Row],[Unit 4]]*(elite2_base_op+icekin*TblMili[[#This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44404.874999999993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44404.874999999993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0.66666666666666663</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Row],[Adept]]+Races!$E$47,TblMili[[#This Row],[Column35]]+Races!$F$47),6)  +  0.45 * MIN(MIN(TblMili[[#This Row],[Adept]]+Races!$E$47,TblMili[[#This Row],[Column35]]+Races!$F$47),6)  +  0.2 * ( MAX(TblMili[[#This Row],[Adept]]+Races!$E$47-6,0) + MAX(TblMili[[#This Row],[Column35]]+Races!$F$47-6,0)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3]]*(elite1_base_op+dark_elf*TblMili[[#This Row],[Adept]])+TblMili[[#This Row],[Unit 4]]*(elite2_base_op+icekin*TblMili[[#This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44404.916666666657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44404.916666666657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0.66666666666666663</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Row],[Adept]]+Races!$E$47,TblMili[[#This Row],[Column35]]+Races!$F$47),6)  +  0.45 * MIN(MIN(TblMili[[#This Row],[Adept]]+Races!$E$47,TblMili[[#This Row],[Column35]]+Races!$F$47),6)  +  0.2 * ( MAX(TblMili[[#This Row],[Adept]]+Races!$E$47-6,0) + MAX(TblMili[[#This Row],[Column35]]+Races!$F$47-6,0)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3]]*(elite1_base_op+dark_elf*TblMili[[#This Row],[Adept]])+TblMili[[#This Row],[Unit 4]]*(elite2_base_op+icekin*TblMili[[#This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44404.958333333321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44404.958333333321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0.66666666666666663</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Row],[Adept]]+Races!$E$47,TblMili[[#This Row],[Column35]]+Races!$F$47),6)  +  0.45 * MIN(MIN(TblMili[[#This Row],[Adept]]+Races!$E$47,TblMili[[#This Row],[Column35]]+Races!$F$47),6)  +  0.2 * ( MAX(TblMili[[#This Row],[Adept]]+Races!$E$47-6,0) + MAX(TblMili[[#This Row],[Column35]]+Races!$F$47-6,0)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3]]*(elite1_base_op+dark_elf*TblMili[[#This Row],[Adept]])+TblMili[[#This Row],[Unit 4]]*(elite2_base_op+icekin*TblMili[[#This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44404.999999999985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44404.999999999985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0.66666666666666663</v>
      </c>
      <c r="CF10" s="323">
        <f ca="1">MIN(nox_nightshade_cap,TblConstr[[#This Row],[Homeland]]/TblConstr[[#This Row],[Land]]/nox_nightshade_swamp_bonus)</f>
        <v>3</v>
      </c>
      <c r="CG10" s="324" t="s">
        <v>341</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Row],[Adept]]+Races!$E$47,TblMili[[#This Row],[Column35]]+Races!$F$47),6)  +  0.45 * MIN(MIN(TblMili[[#This Row],[Adept]]+Races!$E$47,TblMili[[#This Row],[Column35]]+Races!$F$47),6)  +  0.2 * ( MAX(TblMili[[#This Row],[Adept]]+Races!$E$47-6,0) + MAX(TblMili[[#This Row],[Column35]]+Races!$F$47-6,0)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3]]*(elite1_base_op+dark_elf*TblMili[[#This Row],[Adept]])+TblMili[[#This Row],[Unit 4]]*(elite2_base_op+icekin*TblMili[[#This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44405.04166666665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44405.04166666665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0.66666666666666663</v>
      </c>
      <c r="CF11" s="323">
        <f ca="1">MIN(nox_nightshade_cap,TblConstr[[#This Row],[Homeland]]/TblConstr[[#This Row],[Land]]/nox_nightshade_swamp_bonus)</f>
        <v>3</v>
      </c>
      <c r="CG11" s="324" t="s">
        <v>147</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Row],[Adept]]+Races!$E$47,TblMili[[#This Row],[Column35]]+Races!$F$47),6)  +  0.45 * MIN(MIN(TblMili[[#This Row],[Adept]]+Races!$E$47,TblMili[[#This Row],[Column35]]+Races!$F$47),6)  +  0.2 * ( MAX(TblMili[[#This Row],[Adept]]+Races!$E$47-6,0) + MAX(TblMili[[#This Row],[Column35]]+Races!$F$47-6,0)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3]]*(elite1_base_op+dark_elf*TblMili[[#This Row],[Adept]])+TblMili[[#This Row],[Unit 4]]*(elite2_base_op+icekin*TblMili[[#This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44405.083333333314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44405.083333333314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0.66666666666666663</v>
      </c>
      <c r="CF12" s="323">
        <f ca="1">MIN(nox_nightshade_cap,TblConstr[[#This Row],[Homeland]]/TblConstr[[#This Row],[Land]]/nox_nightshade_swamp_bonus)</f>
        <v>3</v>
      </c>
      <c r="CG12" s="324" t="s">
        <v>515</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Row],[Adept]]+Races!$E$47,TblMili[[#This Row],[Column35]]+Races!$F$47),6)  +  0.45 * MIN(MIN(TblMili[[#This Row],[Adept]]+Races!$E$47,TblMili[[#This Row],[Column35]]+Races!$F$47),6)  +  0.2 * ( MAX(TblMili[[#This Row],[Adept]]+Races!$E$47-6,0) + MAX(TblMili[[#This Row],[Column35]]+Races!$F$47-6,0)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3]]*(elite1_base_op+dark_elf*TblMili[[#This Row],[Adept]])+TblMili[[#This Row],[Unit 4]]*(elite2_base_op+icekin*TblMili[[#This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44405.124999999978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44405.124999999978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0.66666666666666663</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Row],[Adept]]+Races!$E$47,TblMili[[#This Row],[Column35]]+Races!$F$47),6)  +  0.45 * MIN(MIN(TblMili[[#This Row],[Adept]]+Races!$E$47,TblMili[[#This Row],[Column35]]+Races!$F$47),6)  +  0.2 * ( MAX(TblMili[[#This Row],[Adept]]+Races!$E$47-6,0) + MAX(TblMili[[#This Row],[Column35]]+Races!$F$47-6,0)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3]]*(elite1_base_op+dark_elf*TblMili[[#This Row],[Adept]])+TblMili[[#This Row],[Unit 4]]*(elite2_base_op+icekin*TblMili[[#This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44405.166666666642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44405.166666666642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0.66666666666666663</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Row],[Adept]]+Races!$E$47,TblMili[[#This Row],[Column35]]+Races!$F$47),6)  +  0.45 * MIN(MIN(TblMili[[#This Row],[Adept]]+Races!$E$47,TblMili[[#This Row],[Column35]]+Races!$F$47),6)  +  0.2 * ( MAX(TblMili[[#This Row],[Adept]]+Races!$E$47-6,0) + MAX(TblMili[[#This Row],[Column35]]+Races!$F$47-6,0)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3]]*(elite1_base_op+dark_elf*TblMili[[#This Row],[Adept]])+TblMili[[#This Row],[Unit 4]]*(elite2_base_op+icekin*TblMili[[#This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44405.208333333307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44405.208333333307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0.66666666666666663</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Row],[Adept]]+Races!$E$47,TblMili[[#This Row],[Column35]]+Races!$F$47),6)  +  0.45 * MIN(MIN(TblMili[[#This Row],[Adept]]+Races!$E$47,TblMili[[#This Row],[Column35]]+Races!$F$47),6)  +  0.2 * ( MAX(TblMili[[#This Row],[Adept]]+Races!$E$47-6,0) + MAX(TblMili[[#This Row],[Column35]]+Races!$F$47-6,0)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3]]*(elite1_base_op+dark_elf*TblMili[[#This Row],[Adept]])+TblMili[[#This Row],[Unit 4]]*(elite2_base_op+icekin*TblMili[[#This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44405.249999999971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44405.249999999971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0.66666666666666663</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Row],[Adept]]+Races!$E$47,TblMili[[#This Row],[Column35]]+Races!$F$47),6)  +  0.45 * MIN(MIN(TblMili[[#This Row],[Adept]]+Races!$E$47,TblMili[[#This Row],[Column35]]+Races!$F$47),6)  +  0.2 * ( MAX(TblMili[[#This Row],[Adept]]+Races!$E$47-6,0) + MAX(TblMili[[#This Row],[Column35]]+Races!$F$47-6,0)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3]]*(elite1_base_op+dark_elf*TblMili[[#This Row],[Adept]])+TblMili[[#This Row],[Unit 4]]*(elite2_base_op+icekin*TblMili[[#This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44405.291666666635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44405.291666666635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0.66666666666666663</v>
      </c>
      <c r="CF17" s="323">
        <f ca="1">MIN(nox_nightshade_cap,TblConstr[[#This Row],[Homeland]]/TblConstr[[#This Row],[Land]]/nox_nightshade_swamp_bonus)</f>
        <v>3</v>
      </c>
      <c r="CG17" s="324" t="s">
        <v>536</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Row],[Adept]]+Races!$E$47,TblMili[[#This Row],[Column35]]+Races!$F$47),6)  +  0.45 * MIN(MIN(TblMili[[#This Row],[Adept]]+Races!$E$47,TblMili[[#This Row],[Column35]]+Races!$F$47),6)  +  0.2 * ( MAX(TblMili[[#This Row],[Adept]]+Races!$E$47-6,0) + MAX(TblMili[[#This Row],[Column35]]+Races!$F$47-6,0)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3]]*(elite1_base_op+dark_elf*TblMili[[#This Row],[Adept]])+TblMili[[#This Row],[Unit 4]]*(elite2_base_op+icekin*TblMili[[#This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44405.333333333299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44405.333333333299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0.66666666666666663</v>
      </c>
      <c r="CF18" s="323">
        <f ca="1">MIN(nox_nightshade_cap,TblConstr[[#This Row],[Homeland]]/TblConstr[[#This Row],[Land]]/nox_nightshade_swamp_bonus)</f>
        <v>3</v>
      </c>
      <c r="CG18" s="324" t="s">
        <v>537</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Row],[Adept]]+Races!$E$47,TblMili[[#This Row],[Column35]]+Races!$F$47),6)  +  0.45 * MIN(MIN(TblMili[[#This Row],[Adept]]+Races!$E$47,TblMili[[#This Row],[Column35]]+Races!$F$47),6)  +  0.2 * ( MAX(TblMili[[#This Row],[Adept]]+Races!$E$47-6,0) + MAX(TblMili[[#This Row],[Column35]]+Races!$F$47-6,0)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3]]*(elite1_base_op+dark_elf*TblMili[[#This Row],[Adept]])+TblMili[[#This Row],[Unit 4]]*(elite2_base_op+icekin*TblMili[[#This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44405.374999999964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44405.374999999964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0.66666666666666663</v>
      </c>
      <c r="CF19" s="323">
        <f ca="1">MIN(nox_nightshade_cap,TblConstr[[#This Row],[Homeland]]/TblConstr[[#This Row],[Land]]/nox_nightshade_swamp_bonus)</f>
        <v>3</v>
      </c>
      <c r="CG19" s="324" t="s">
        <v>538</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Row],[Adept]]+Races!$E$47,TblMili[[#This Row],[Column35]]+Races!$F$47),6)  +  0.45 * MIN(MIN(TblMili[[#This Row],[Adept]]+Races!$E$47,TblMili[[#This Row],[Column35]]+Races!$F$47),6)  +  0.2 * ( MAX(TblMili[[#This Row],[Adept]]+Races!$E$47-6,0) + MAX(TblMili[[#This Row],[Column35]]+Races!$F$47-6,0)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3]]*(elite1_base_op+dark_elf*TblMili[[#This Row],[Adept]])+TblMili[[#This Row],[Unit 4]]*(elite2_base_op+icekin*TblMili[[#This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44405.416666666628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44405.416666666628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0.66666666666666663</v>
      </c>
      <c r="CF20" s="323">
        <f ca="1">MIN(nox_nightshade_cap,TblConstr[[#This Row],[Homeland]]/TblConstr[[#This Row],[Land]]/nox_nightshade_swamp_bonus)</f>
        <v>3</v>
      </c>
      <c r="CG20" s="324" t="s">
        <v>540</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Row],[Adept]]+Races!$E$47,TblMili[[#This Row],[Column35]]+Races!$F$47),6)  +  0.45 * MIN(MIN(TblMili[[#This Row],[Adept]]+Races!$E$47,TblMili[[#This Row],[Column35]]+Races!$F$47),6)  +  0.2 * ( MAX(TblMili[[#This Row],[Adept]]+Races!$E$47-6,0) + MAX(TblMili[[#This Row],[Column35]]+Races!$F$47-6,0)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3]]*(elite1_base_op+dark_elf*TblMili[[#This Row],[Adept]])+TblMili[[#This Row],[Unit 4]]*(elite2_base_op+icekin*TblMili[[#This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44405.458333333292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44405.458333333292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0.66666666666666663</v>
      </c>
      <c r="CF21" s="323">
        <f ca="1">MIN(nox_nightshade_cap,TblConstr[[#This Row],[Homeland]]/TblConstr[[#This Row],[Land]]/nox_nightshade_swamp_bonus)</f>
        <v>3</v>
      </c>
      <c r="CG21" s="324" t="s">
        <v>539</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Row],[Adept]]+Races!$E$47,TblMili[[#This Row],[Column35]]+Races!$F$47),6)  +  0.45 * MIN(MIN(TblMili[[#This Row],[Adept]]+Races!$E$47,TblMili[[#This Row],[Column35]]+Races!$F$47),6)  +  0.2 * ( MAX(TblMili[[#This Row],[Adept]]+Races!$E$47-6,0) + MAX(TblMili[[#This Row],[Column35]]+Races!$F$47-6,0)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3]]*(elite1_base_op+dark_elf*TblMili[[#This Row],[Adept]])+TblMili[[#This Row],[Unit 4]]*(elite2_base_op+icekin*TblMili[[#This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44405.499999999956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44405.499999999956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0.66666666666666663</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Row],[Adept]]+Races!$E$47,TblMili[[#This Row],[Column35]]+Races!$F$47),6)  +  0.45 * MIN(MIN(TblMili[[#This Row],[Adept]]+Races!$E$47,TblMili[[#This Row],[Column35]]+Races!$F$47),6)  +  0.2 * ( MAX(TblMili[[#This Row],[Adept]]+Races!$E$47-6,0) + MAX(TblMili[[#This Row],[Column35]]+Races!$F$47-6,0)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3]]*(elite1_base_op+dark_elf*TblMili[[#This Row],[Adept]])+TblMili[[#This Row],[Unit 4]]*(elite2_base_op+icekin*TblMili[[#This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44405.541666666621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44405.541666666621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0.66666666666666663</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Row],[Adept]]+Races!$E$47,TblMili[[#This Row],[Column35]]+Races!$F$47),6)  +  0.45 * MIN(MIN(TblMili[[#This Row],[Adept]]+Races!$E$47,TblMili[[#This Row],[Column35]]+Races!$F$47),6)  +  0.2 * ( MAX(TblMili[[#This Row],[Adept]]+Races!$E$47-6,0) + MAX(TblMili[[#This Row],[Column35]]+Races!$F$47-6,0)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3]]*(elite1_base_op+dark_elf*TblMili[[#This Row],[Adept]])+TblMili[[#This Row],[Unit 4]]*(elite2_base_op+icekin*TblMili[[#This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44405.583333333285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44405.583333333285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0.66666666666666663</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Row],[Adept]]+Races!$E$47,TblMili[[#This Row],[Column35]]+Races!$F$47),6)  +  0.45 * MIN(MIN(TblMili[[#This Row],[Adept]]+Races!$E$47,TblMili[[#This Row],[Column35]]+Races!$F$47),6)  +  0.2 * ( MAX(TblMili[[#This Row],[Adept]]+Races!$E$47-6,0) + MAX(TblMili[[#This Row],[Column35]]+Races!$F$47-6,0)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3]]*(elite1_base_op+dark_elf*TblMili[[#This Row],[Adept]])+TblMili[[#This Row],[Unit 4]]*(elite2_base_op+icekin*TblMili[[#This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44405.624999999949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44405.624999999949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0.66666666666666663</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Row],[Adept]]+Races!$E$47,TblMili[[#This Row],[Column35]]+Races!$F$47),6)  +  0.45 * MIN(MIN(TblMili[[#This Row],[Adept]]+Races!$E$47,TblMili[[#This Row],[Column35]]+Races!$F$47),6)  +  0.2 * ( MAX(TblMili[[#This Row],[Adept]]+Races!$E$47-6,0) + MAX(TblMili[[#This Row],[Column35]]+Races!$F$47-6,0)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3]]*(elite1_base_op+dark_elf*TblMili[[#This Row],[Adept]])+TblMili[[#This Row],[Unit 4]]*(elite2_base_op+icekin*TblMili[[#This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44405.666666666613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44405.666666666613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0.66666666666666663</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Row],[Adept]]+Races!$E$47,TblMili[[#This Row],[Column35]]+Races!$F$47),6)  +  0.45 * MIN(MIN(TblMili[[#This Row],[Adept]]+Races!$E$47,TblMili[[#This Row],[Column35]]+Races!$F$47),6)  +  0.2 * ( MAX(TblMili[[#This Row],[Adept]]+Races!$E$47-6,0) + MAX(TblMili[[#This Row],[Column35]]+Races!$F$47-6,0)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3]]*(elite1_base_op+dark_elf*TblMili[[#This Row],[Adept]])+TblMili[[#This Row],[Unit 4]]*(elite2_base_op+icekin*TblMili[[#This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44405.708333333278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44405.708333333278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0.66666666666666663</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Row],[Adept]]+Races!$E$47,TblMili[[#This Row],[Column35]]+Races!$F$47),6)  +  0.45 * MIN(MIN(TblMili[[#This Row],[Adept]]+Races!$E$47,TblMili[[#This Row],[Column35]]+Races!$F$47),6)  +  0.2 * ( MAX(TblMili[[#This Row],[Adept]]+Races!$E$47-6,0) + MAX(TblMili[[#This Row],[Column35]]+Races!$F$47-6,0)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3]]*(elite1_base_op+dark_elf*TblMili[[#This Row],[Adept]])+TblMili[[#This Row],[Unit 4]]*(elite2_base_op+icekin*TblMili[[#This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44405.749999999942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44405.749999999942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0.66666666666666663</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Row],[Adept]]+Races!$E$47,TblMili[[#This Row],[Column35]]+Races!$F$47),6)  +  0.45 * MIN(MIN(TblMili[[#This Row],[Adept]]+Races!$E$47,TblMili[[#This Row],[Column35]]+Races!$F$47),6)  +  0.2 * ( MAX(TblMili[[#This Row],[Adept]]+Races!$E$47-6,0) + MAX(TblMili[[#This Row],[Column35]]+Races!$F$47-6,0)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3]]*(elite1_base_op+dark_elf*TblMili[[#This Row],[Adept]])+TblMili[[#This Row],[Unit 4]]*(elite2_base_op+icekin*TblMili[[#This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44405.791666666606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44405.791666666606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0.66666666666666663</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Row],[Adept]]+Races!$E$47,TblMili[[#This Row],[Column35]]+Races!$F$47),6)  +  0.45 * MIN(MIN(TblMili[[#This Row],[Adept]]+Races!$E$47,TblMili[[#This Row],[Column35]]+Races!$F$47),6)  +  0.2 * ( MAX(TblMili[[#This Row],[Adept]]+Races!$E$47-6,0) + MAX(TblMili[[#This Row],[Column35]]+Races!$F$47-6,0)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3]]*(elite1_base_op+dark_elf*TblMili[[#This Row],[Adept]])+TblMili[[#This Row],[Unit 4]]*(elite2_base_op+icekin*TblMili[[#This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44405.83333333327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44405.83333333327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0.66666666666666663</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Row],[Adept]]+Races!$E$47,TblMili[[#This Row],[Column35]]+Races!$F$47),6)  +  0.45 * MIN(MIN(TblMili[[#This Row],[Adept]]+Races!$E$47,TblMili[[#This Row],[Column35]]+Races!$F$47),6)  +  0.2 * ( MAX(TblMili[[#This Row],[Adept]]+Races!$E$47-6,0) + MAX(TblMili[[#This Row],[Column35]]+Races!$F$47-6,0)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3]]*(elite1_base_op+dark_elf*TblMili[[#This Row],[Adept]])+TblMili[[#This Row],[Unit 4]]*(elite2_base_op+icekin*TblMili[[#This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44405.874999999935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44405.874999999935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0.66666666666666663</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Row],[Adept]]+Races!$E$47,TblMili[[#This Row],[Column35]]+Races!$F$47),6)  +  0.45 * MIN(MIN(TblMili[[#This Row],[Adept]]+Races!$E$47,TblMili[[#This Row],[Column35]]+Races!$F$47),6)  +  0.2 * ( MAX(TblMili[[#This Row],[Adept]]+Races!$E$47-6,0) + MAX(TblMili[[#This Row],[Column35]]+Races!$F$47-6,0)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3]]*(elite1_base_op+dark_elf*TblMili[[#This Row],[Adept]])+TblMili[[#This Row],[Unit 4]]*(elite2_base_op+icekin*TblMili[[#This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44405.916666666599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44405.916666666599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0.66666666666666663</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Row],[Adept]]+Races!$E$47,TblMili[[#This Row],[Column35]]+Races!$F$47),6)  +  0.45 * MIN(MIN(TblMili[[#This Row],[Adept]]+Races!$E$47,TblMili[[#This Row],[Column35]]+Races!$F$47),6)  +  0.2 * ( MAX(TblMili[[#This Row],[Adept]]+Races!$E$47-6,0) + MAX(TblMili[[#This Row],[Column35]]+Races!$F$47-6,0)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3]]*(elite1_base_op+dark_elf*TblMili[[#This Row],[Adept]])+TblMili[[#This Row],[Unit 4]]*(elite2_base_op+icekin*TblMili[[#This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44405.958333333263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44405.958333333263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0.66666666666666663</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Row],[Adept]]+Races!$E$47,TblMili[[#This Row],[Column35]]+Races!$F$47),6)  +  0.45 * MIN(MIN(TblMili[[#This Row],[Adept]]+Races!$E$47,TblMili[[#This Row],[Column35]]+Races!$F$47),6)  +  0.2 * ( MAX(TblMili[[#This Row],[Adept]]+Races!$E$47-6,0) + MAX(TblMili[[#This Row],[Column35]]+Races!$F$47-6,0)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3]]*(elite1_base_op+dark_elf*TblMili[[#This Row],[Adept]])+TblMili[[#This Row],[Unit 4]]*(elite2_base_op+icekin*TblMili[[#This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44405.999999999927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44405.999999999927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0.66666666666666663</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Row],[Adept]]+Races!$E$47,TblMili[[#This Row],[Column35]]+Races!$F$47),6)  +  0.45 * MIN(MIN(TblMili[[#This Row],[Adept]]+Races!$E$47,TblMili[[#This Row],[Column35]]+Races!$F$47),6)  +  0.2 * ( MAX(TblMili[[#This Row],[Adept]]+Races!$E$47-6,0) + MAX(TblMili[[#This Row],[Column35]]+Races!$F$47-6,0)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3]]*(elite1_base_op+dark_elf*TblMili[[#This Row],[Adept]])+TblMili[[#This Row],[Unit 4]]*(elite2_base_op+icekin*TblMili[[#This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44406.041666666591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44406.041666666591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0.66666666666666663</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Row],[Adept]]+Races!$E$47,TblMili[[#This Row],[Column35]]+Races!$F$47),6)  +  0.45 * MIN(MIN(TblMili[[#This Row],[Adept]]+Races!$E$47,TblMili[[#This Row],[Column35]]+Races!$F$47),6)  +  0.2 * ( MAX(TblMili[[#This Row],[Adept]]+Races!$E$47-6,0) + MAX(TblMili[[#This Row],[Column35]]+Races!$F$47-6,0)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3]]*(elite1_base_op+dark_elf*TblMili[[#This Row],[Adept]])+TblMili[[#This Row],[Unit 4]]*(elite2_base_op+icekin*TblMili[[#This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44406.083333333256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44406.083333333256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0.66666666666666663</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Row],[Adept]]+Races!$E$47,TblMili[[#This Row],[Column35]]+Races!$F$47),6)  +  0.45 * MIN(MIN(TblMili[[#This Row],[Adept]]+Races!$E$47,TblMili[[#This Row],[Column35]]+Races!$F$47),6)  +  0.2 * ( MAX(TblMili[[#This Row],[Adept]]+Races!$E$47-6,0) + MAX(TblMili[[#This Row],[Column35]]+Races!$F$47-6,0)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3]]*(elite1_base_op+dark_elf*TblMili[[#This Row],[Adept]])+TblMili[[#This Row],[Unit 4]]*(elite2_base_op+icekin*TblMili[[#This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44406.12499999992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44406.12499999992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0.66666666666666663</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Row],[Adept]]+Races!$E$47,TblMili[[#This Row],[Column35]]+Races!$F$47),6)  +  0.45 * MIN(MIN(TblMili[[#This Row],[Adept]]+Races!$E$47,TblMili[[#This Row],[Column35]]+Races!$F$47),6)  +  0.2 * ( MAX(TblMili[[#This Row],[Adept]]+Races!$E$47-6,0) + MAX(TblMili[[#This Row],[Column35]]+Races!$F$47-6,0)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3]]*(elite1_base_op+dark_elf*TblMili[[#This Row],[Adept]])+TblMili[[#This Row],[Unit 4]]*(elite2_base_op+icekin*TblMili[[#This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44406.166666666584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44406.166666666584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0.66666666666666663</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Row],[Adept]]+Races!$E$47,TblMili[[#This Row],[Column35]]+Races!$F$47),6)  +  0.45 * MIN(MIN(TblMili[[#This Row],[Adept]]+Races!$E$47,TblMili[[#This Row],[Column35]]+Races!$F$47),6)  +  0.2 * ( MAX(TblMili[[#This Row],[Adept]]+Races!$E$47-6,0) + MAX(TblMili[[#This Row],[Column35]]+Races!$F$47-6,0)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3]]*(elite1_base_op+dark_elf*TblMili[[#This Row],[Adept]])+TblMili[[#This Row],[Unit 4]]*(elite2_base_op+icekin*TblMili[[#This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44406.208333333248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44406.208333333248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0.66666666666666663</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Row],[Adept]]+Races!$E$47,TblMili[[#This Row],[Column35]]+Races!$F$47),6)  +  0.45 * MIN(MIN(TblMili[[#This Row],[Adept]]+Races!$E$47,TblMili[[#This Row],[Column35]]+Races!$F$47),6)  +  0.2 * ( MAX(TblMili[[#This Row],[Adept]]+Races!$E$47-6,0) + MAX(TblMili[[#This Row],[Column35]]+Races!$F$47-6,0)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3]]*(elite1_base_op+dark_elf*TblMili[[#This Row],[Adept]])+TblMili[[#This Row],[Unit 4]]*(elite2_base_op+icekin*TblMili[[#This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44406.249999999913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44406.249999999913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0.66666666666666663</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Row],[Adept]]+Races!$E$47,TblMili[[#This Row],[Column35]]+Races!$F$47),6)  +  0.45 * MIN(MIN(TblMili[[#This Row],[Adept]]+Races!$E$47,TblMili[[#This Row],[Column35]]+Races!$F$47),6)  +  0.2 * ( MAX(TblMili[[#This Row],[Adept]]+Races!$E$47-6,0) + MAX(TblMili[[#This Row],[Column35]]+Races!$F$47-6,0)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3]]*(elite1_base_op+dark_elf*TblMili[[#This Row],[Adept]])+TblMili[[#This Row],[Unit 4]]*(elite2_base_op+icekin*TblMili[[#This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44406.291666666577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44406.291666666577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0.66666666666666663</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Row],[Adept]]+Races!$E$47,TblMili[[#This Row],[Column35]]+Races!$F$47),6)  +  0.45 * MIN(MIN(TblMili[[#This Row],[Adept]]+Races!$E$47,TblMili[[#This Row],[Column35]]+Races!$F$47),6)  +  0.2 * ( MAX(TblMili[[#This Row],[Adept]]+Races!$E$47-6,0) + MAX(TblMili[[#This Row],[Column35]]+Races!$F$47-6,0)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3]]*(elite1_base_op+dark_elf*TblMili[[#This Row],[Adept]])+TblMili[[#This Row],[Unit 4]]*(elite2_base_op+icekin*TblMili[[#This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44406.333333333241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44406.333333333241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0.66666666666666663</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Row],[Adept]]+Races!$E$47,TblMili[[#This Row],[Column35]]+Races!$F$47),6)  +  0.45 * MIN(MIN(TblMili[[#This Row],[Adept]]+Races!$E$47,TblMili[[#This Row],[Column35]]+Races!$F$47),6)  +  0.2 * ( MAX(TblMili[[#This Row],[Adept]]+Races!$E$47-6,0) + MAX(TblMili[[#This Row],[Column35]]+Races!$F$47-6,0)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3]]*(elite1_base_op+dark_elf*TblMili[[#This Row],[Adept]])+TblMili[[#This Row],[Unit 4]]*(elite2_base_op+icekin*TblMili[[#This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44406.374999999905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44406.374999999905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0.66666666666666663</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Row],[Adept]]+Races!$E$47,TblMili[[#This Row],[Column35]]+Races!$F$47),6)  +  0.45 * MIN(MIN(TblMili[[#This Row],[Adept]]+Races!$E$47,TblMili[[#This Row],[Column35]]+Races!$F$47),6)  +  0.2 * ( MAX(TblMili[[#This Row],[Adept]]+Races!$E$47-6,0) + MAX(TblMili[[#This Row],[Column35]]+Races!$F$47-6,0)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3]]*(elite1_base_op+dark_elf*TblMili[[#This Row],[Adept]])+TblMili[[#This Row],[Unit 4]]*(elite2_base_op+icekin*TblMili[[#This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44406.41666666657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44406.41666666657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0.66666666666666663</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Row],[Adept]]+Races!$E$47,TblMili[[#This Row],[Column35]]+Races!$F$47),6)  +  0.45 * MIN(MIN(TblMili[[#This Row],[Adept]]+Races!$E$47,TblMili[[#This Row],[Column35]]+Races!$F$47),6)  +  0.2 * ( MAX(TblMili[[#This Row],[Adept]]+Races!$E$47-6,0) + MAX(TblMili[[#This Row],[Column35]]+Races!$F$47-6,0)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3]]*(elite1_base_op+dark_elf*TblMili[[#This Row],[Adept]])+TblMili[[#This Row],[Unit 4]]*(elite2_base_op+icekin*TblMili[[#This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44406.458333333234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44406.458333333234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0.66666666666666663</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Row],[Adept]]+Races!$E$47,TblMili[[#This Row],[Column35]]+Races!$F$47),6)  +  0.45 * MIN(MIN(TblMili[[#This Row],[Adept]]+Races!$E$47,TblMili[[#This Row],[Column35]]+Races!$F$47),6)  +  0.2 * ( MAX(TblMili[[#This Row],[Adept]]+Races!$E$47-6,0) + MAX(TblMili[[#This Row],[Column35]]+Races!$F$47-6,0)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3]]*(elite1_base_op+dark_elf*TblMili[[#This Row],[Adept]])+TblMili[[#This Row],[Unit 4]]*(elite2_base_op+icekin*TblMili[[#This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44406.499999999898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44406.499999999898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0.66666666666666663</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Row],[Adept]]+Races!$E$47,TblMili[[#This Row],[Column35]]+Races!$F$47),6)  +  0.45 * MIN(MIN(TblMili[[#This Row],[Adept]]+Races!$E$47,TblMili[[#This Row],[Column35]]+Races!$F$47),6)  +  0.2 * ( MAX(TblMili[[#This Row],[Adept]]+Races!$E$47-6,0) + MAX(TblMili[[#This Row],[Column35]]+Races!$F$47-6,0)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3]]*(elite1_base_op+dark_elf*TblMili[[#This Row],[Adept]])+TblMili[[#This Row],[Unit 4]]*(elite2_base_op+icekin*TblMili[[#This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44406.541666666562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44406.541666666562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0.66666666666666663</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Row],[Adept]]+Races!$E$47,TblMili[[#This Row],[Column35]]+Races!$F$47),6)  +  0.45 * MIN(MIN(TblMili[[#This Row],[Adept]]+Races!$E$47,TblMili[[#This Row],[Column35]]+Races!$F$47),6)  +  0.2 * ( MAX(TblMili[[#This Row],[Adept]]+Races!$E$47-6,0) + MAX(TblMili[[#This Row],[Column35]]+Races!$F$47-6,0)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3]]*(elite1_base_op+dark_elf*TblMili[[#This Row],[Adept]])+TblMili[[#This Row],[Unit 4]]*(elite2_base_op+icekin*TblMili[[#This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44406.583333333227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44406.583333333227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0.66666666666666663</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Row],[Adept]]+Races!$E$47,TblMili[[#This Row],[Column35]]+Races!$F$47),6)  +  0.45 * MIN(MIN(TblMili[[#This Row],[Adept]]+Races!$E$47,TblMili[[#This Row],[Column35]]+Races!$F$47),6)  +  0.2 * ( MAX(TblMili[[#This Row],[Adept]]+Races!$E$47-6,0) + MAX(TblMili[[#This Row],[Column35]]+Races!$F$47-6,0)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3]]*(elite1_base_op+dark_elf*TblMili[[#This Row],[Adept]])+TblMili[[#This Row],[Unit 4]]*(elite2_base_op+icekin*TblMili[[#This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44406.624999999891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44406.624999999891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0.66666666666666663</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Row],[Adept]]+Races!$E$47,TblMili[[#This Row],[Column35]]+Races!$F$47),6)  +  0.45 * MIN(MIN(TblMili[[#This Row],[Adept]]+Races!$E$47,TblMili[[#This Row],[Column35]]+Races!$F$47),6)  +  0.2 * ( MAX(TblMili[[#This Row],[Adept]]+Races!$E$47-6,0) + MAX(TblMili[[#This Row],[Column35]]+Races!$F$47-6,0)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3]]*(elite1_base_op+dark_elf*TblMili[[#This Row],[Adept]])+TblMili[[#This Row],[Unit 4]]*(elite2_base_op+icekin*TblMili[[#This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44406.666666666555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44406.666666666555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0.66666666666666663</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Row],[Adept]]+Races!$E$47,TblMili[[#This Row],[Column35]]+Races!$F$47),6)  +  0.45 * MIN(MIN(TblMili[[#This Row],[Adept]]+Races!$E$47,TblMili[[#This Row],[Column35]]+Races!$F$47),6)  +  0.2 * ( MAX(TblMili[[#This Row],[Adept]]+Races!$E$47-6,0) + MAX(TblMili[[#This Row],[Column35]]+Races!$F$47-6,0)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3]]*(elite1_base_op+dark_elf*TblMili[[#This Row],[Adept]])+TblMili[[#This Row],[Unit 4]]*(elite2_base_op+icekin*TblMili[[#This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44406.708333333219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44406.708333333219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0.66666666666666663</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Row],[Adept]]+Races!$E$47,TblMili[[#This Row],[Column35]]+Races!$F$47),6)  +  0.45 * MIN(MIN(TblMili[[#This Row],[Adept]]+Races!$E$47,TblMili[[#This Row],[Column35]]+Races!$F$47),6)  +  0.2 * ( MAX(TblMili[[#This Row],[Adept]]+Races!$E$47-6,0) + MAX(TblMili[[#This Row],[Column35]]+Races!$F$47-6,0)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3]]*(elite1_base_op+dark_elf*TblMili[[#This Row],[Adept]])+TblMili[[#This Row],[Unit 4]]*(elite2_base_op+icekin*TblMili[[#This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44406.749999999884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44406.749999999884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0.66666666666666663</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Row],[Adept]]+Races!$E$47,TblMili[[#This Row],[Column35]]+Races!$F$47),6)  +  0.45 * MIN(MIN(TblMili[[#This Row],[Adept]]+Races!$E$47,TblMili[[#This Row],[Column35]]+Races!$F$47),6)  +  0.2 * ( MAX(TblMili[[#This Row],[Adept]]+Races!$E$47-6,0) + MAX(TblMili[[#This Row],[Column35]]+Races!$F$47-6,0)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3]]*(elite1_base_op+dark_elf*TblMili[[#This Row],[Adept]])+TblMili[[#This Row],[Unit 4]]*(elite2_base_op+icekin*TblMili[[#This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44406.791666666548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44406.791666666548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0.66666666666666663</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Row],[Adept]]+Races!$E$47,TblMili[[#This Row],[Column35]]+Races!$F$47),6)  +  0.45 * MIN(MIN(TblMili[[#This Row],[Adept]]+Races!$E$47,TblMili[[#This Row],[Column35]]+Races!$F$47),6)  +  0.2 * ( MAX(TblMili[[#This Row],[Adept]]+Races!$E$47-6,0) + MAX(TblMili[[#This Row],[Column35]]+Races!$F$47-6,0)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3]]*(elite1_base_op+dark_elf*TblMili[[#This Row],[Adept]])+TblMili[[#This Row],[Unit 4]]*(elite2_base_op+icekin*TblMili[[#This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44406.833333333212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44406.833333333212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0.66666666666666663</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Row],[Adept]]+Races!$E$47,TblMili[[#This Row],[Column35]]+Races!$F$47),6)  +  0.45 * MIN(MIN(TblMili[[#This Row],[Adept]]+Races!$E$47,TblMili[[#This Row],[Column35]]+Races!$F$47),6)  +  0.2 * ( MAX(TblMili[[#This Row],[Adept]]+Races!$E$47-6,0) + MAX(TblMili[[#This Row],[Column35]]+Races!$F$47-6,0)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3]]*(elite1_base_op+dark_elf*TblMili[[#This Row],[Adept]])+TblMili[[#This Row],[Unit 4]]*(elite2_base_op+icekin*TblMili[[#This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44406.874999999876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44406.874999999876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0.66666666666666663</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Row],[Adept]]+Races!$E$47,TblMili[[#This Row],[Column35]]+Races!$F$47),6)  +  0.45 * MIN(MIN(TblMili[[#This Row],[Adept]]+Races!$E$47,TblMili[[#This Row],[Column35]]+Races!$F$47),6)  +  0.2 * ( MAX(TblMili[[#This Row],[Adept]]+Races!$E$47-6,0) + MAX(TblMili[[#This Row],[Column35]]+Races!$F$47-6,0)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3]]*(elite1_base_op+dark_elf*TblMili[[#This Row],[Adept]])+TblMili[[#This Row],[Unit 4]]*(elite2_base_op+icekin*TblMili[[#This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44406.916666666541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44406.916666666541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0.66666666666666663</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Row],[Adept]]+Races!$E$47,TblMili[[#This Row],[Column35]]+Races!$F$47),6)  +  0.45 * MIN(MIN(TblMili[[#This Row],[Adept]]+Races!$E$47,TblMili[[#This Row],[Column35]]+Races!$F$47),6)  +  0.2 * ( MAX(TblMili[[#This Row],[Adept]]+Races!$E$47-6,0) + MAX(TblMili[[#This Row],[Column35]]+Races!$F$47-6,0)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3]]*(elite1_base_op+dark_elf*TblMili[[#This Row],[Adept]])+TblMili[[#This Row],[Unit 4]]*(elite2_base_op+icekin*TblMili[[#This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44406.958333333205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44406.958333333205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0.66666666666666663</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Row],[Adept]]+Races!$E$47,TblMili[[#This Row],[Column35]]+Races!$F$47),6)  +  0.45 * MIN(MIN(TblMili[[#This Row],[Adept]]+Races!$E$47,TblMili[[#This Row],[Column35]]+Races!$F$47),6)  +  0.2 * ( MAX(TblMili[[#This Row],[Adept]]+Races!$E$47-6,0) + MAX(TblMili[[#This Row],[Column35]]+Races!$F$47-6,0)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3]]*(elite1_base_op+dark_elf*TblMili[[#This Row],[Adept]])+TblMili[[#This Row],[Unit 4]]*(elite2_base_op+icekin*TblMili[[#This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44406.999999999869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44406.999999999869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0.66666666666666663</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Row],[Adept]]+Races!$E$47,TblMili[[#This Row],[Column35]]+Races!$F$47),6)  +  0.45 * MIN(MIN(TblMili[[#This Row],[Adept]]+Races!$E$47,TblMili[[#This Row],[Column35]]+Races!$F$47),6)  +  0.2 * ( MAX(TblMili[[#This Row],[Adept]]+Races!$E$47-6,0) + MAX(TblMili[[#This Row],[Column35]]+Races!$F$47-6,0)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3]]*(elite1_base_op+dark_elf*TblMili[[#This Row],[Adept]])+TblMili[[#This Row],[Unit 4]]*(elite2_base_op+icekin*TblMili[[#This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44407.041666666533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44407.041666666533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0.66666666666666663</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Row],[Adept]]+Races!$E$47,TblMili[[#This Row],[Column35]]+Races!$F$47),6)  +  0.45 * MIN(MIN(TblMili[[#This Row],[Adept]]+Races!$E$47,TblMili[[#This Row],[Column35]]+Races!$F$47),6)  +  0.2 * ( MAX(TblMili[[#This Row],[Adept]]+Races!$E$47-6,0) + MAX(TblMili[[#This Row],[Column35]]+Races!$F$47-6,0)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3]]*(elite1_base_op+dark_elf*TblMili[[#This Row],[Adept]])+TblMili[[#This Row],[Unit 4]]*(elite2_base_op+icekin*TblMili[[#This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44407.083333333198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44407.083333333198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0.66666666666666663</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Row],[Adept]]+Races!$E$47,TblMili[[#This Row],[Column35]]+Races!$F$47),6)  +  0.45 * MIN(MIN(TblMili[[#This Row],[Adept]]+Races!$E$47,TblMili[[#This Row],[Column35]]+Races!$F$47),6)  +  0.2 * ( MAX(TblMili[[#This Row],[Adept]]+Races!$E$47-6,0) + MAX(TblMili[[#This Row],[Column35]]+Races!$F$47-6,0)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3]]*(elite1_base_op+dark_elf*TblMili[[#This Row],[Adept]])+TblMili[[#This Row],[Unit 4]]*(elite2_base_op+icekin*TblMili[[#This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44407.124999999862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44407.124999999862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0.66666666666666663</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Row],[Adept]]+Races!$E$47,TblMili[[#This Row],[Column35]]+Races!$F$47),6)  +  0.45 * MIN(MIN(TblMili[[#This Row],[Adept]]+Races!$E$47,TblMili[[#This Row],[Column35]]+Races!$F$47),6)  +  0.2 * ( MAX(TblMili[[#This Row],[Adept]]+Races!$E$47-6,0) + MAX(TblMili[[#This Row],[Column35]]+Races!$F$47-6,0)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3]]*(elite1_base_op+dark_elf*TblMili[[#This Row],[Adept]])+TblMili[[#This Row],[Unit 4]]*(elite2_base_op+icekin*TblMili[[#This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44407.166666666526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44407.166666666526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0.66666666666666663</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Row],[Adept]]+Races!$E$47,TblMili[[#This Row],[Column35]]+Races!$F$47),6)  +  0.45 * MIN(MIN(TblMili[[#This Row],[Adept]]+Races!$E$47,TblMili[[#This Row],[Column35]]+Races!$F$47),6)  +  0.2 * ( MAX(TblMili[[#This Row],[Adept]]+Races!$E$47-6,0) + MAX(TblMili[[#This Row],[Column35]]+Races!$F$47-6,0)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3]]*(elite1_base_op+dark_elf*TblMili[[#This Row],[Adept]])+TblMili[[#This Row],[Unit 4]]*(elite2_base_op+icekin*TblMili[[#This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44407.20833333319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44407.20833333319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0.66666666666666663</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Row],[Adept]]+Races!$E$47,TblMili[[#This Row],[Column35]]+Races!$F$47),6)  +  0.45 * MIN(MIN(TblMili[[#This Row],[Adept]]+Races!$E$47,TblMili[[#This Row],[Column35]]+Races!$F$47),6)  +  0.2 * ( MAX(TblMili[[#This Row],[Adept]]+Races!$E$47-6,0) + MAX(TblMili[[#This Row],[Column35]]+Races!$F$47-6,0)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3]]*(elite1_base_op+dark_elf*TblMili[[#This Row],[Adept]])+TblMili[[#This Row],[Unit 4]]*(elite2_base_op+icekin*TblMili[[#This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44407.249999999854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44407.249999999854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0.66666666666666663</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Row],[Adept]]+Races!$E$47,TblMili[[#This Row],[Column35]]+Races!$F$47),6)  +  0.45 * MIN(MIN(TblMili[[#This Row],[Adept]]+Races!$E$47,TblMili[[#This Row],[Column35]]+Races!$F$47),6)  +  0.2 * ( MAX(TblMili[[#This Row],[Adept]]+Races!$E$47-6,0) + MAX(TblMili[[#This Row],[Column35]]+Races!$F$47-6,0)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3]]*(elite1_base_op+dark_elf*TblMili[[#This Row],[Adept]])+TblMili[[#This Row],[Unit 4]]*(elite2_base_op+icekin*TblMili[[#This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44407.291666666519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44407.291666666519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0.66666666666666663</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Row],[Adept]]+Races!$E$47,TblMili[[#This Row],[Column35]]+Races!$F$47),6)  +  0.45 * MIN(MIN(TblMili[[#This Row],[Adept]]+Races!$E$47,TblMili[[#This Row],[Column35]]+Races!$F$47),6)  +  0.2 * ( MAX(TblMili[[#This Row],[Adept]]+Races!$E$47-6,0) + MAX(TblMili[[#This Row],[Column35]]+Races!$F$47-6,0)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3]]*(elite1_base_op+dark_elf*TblMili[[#This Row],[Adept]])+TblMili[[#This Row],[Unit 4]]*(elite2_base_op+icekin*TblMili[[#This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44407.333333333183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44407.333333333183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0.66666666666666663</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Row],[Adept]]+Races!$E$47,TblMili[[#This Row],[Column35]]+Races!$F$47),6)  +  0.45 * MIN(MIN(TblMili[[#This Row],[Adept]]+Races!$E$47,TblMili[[#This Row],[Column35]]+Races!$F$47),6)  +  0.2 * ( MAX(TblMili[[#This Row],[Adept]]+Races!$E$47-6,0) + MAX(TblMili[[#This Row],[Column35]]+Races!$F$47-6,0)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3]]*(elite1_base_op+dark_elf*TblMili[[#This Row],[Adept]])+TblMili[[#This Row],[Unit 4]]*(elite2_base_op+icekin*TblMili[[#This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44407.374999999847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44407.374999999847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0.66666666666666663</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Row],[Adept]]+Races!$E$47,TblMili[[#This Row],[Column35]]+Races!$F$47),6)  +  0.45 * MIN(MIN(TblMili[[#This Row],[Adept]]+Races!$E$47,TblMili[[#This Row],[Column35]]+Races!$F$47),6)  +  0.2 * ( MAX(TblMili[[#This Row],[Adept]]+Races!$E$47-6,0) + MAX(TblMili[[#This Row],[Column35]]+Races!$F$47-6,0)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3]]*(elite1_base_op+dark_elf*TblMili[[#This Row],[Adept]])+TblMili[[#This Row],[Unit 4]]*(elite2_base_op+icekin*TblMili[[#This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44407.416666666511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44407.416666666511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0.66666666666666663</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Row],[Adept]]+Races!$E$47,TblMili[[#This Row],[Column35]]+Races!$F$47),6)  +  0.45 * MIN(MIN(TblMili[[#This Row],[Adept]]+Races!$E$47,TblMili[[#This Row],[Column35]]+Races!$F$47),6)  +  0.2 * ( MAX(TblMili[[#This Row],[Adept]]+Races!$E$47-6,0) + MAX(TblMili[[#This Row],[Column35]]+Races!$F$47-6,0)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3]]*(elite1_base_op+dark_elf*TblMili[[#This Row],[Adept]])+TblMili[[#This Row],[Unit 4]]*(elite2_base_op+icekin*TblMili[[#This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44407.458333333176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44407.458333333176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0.66666666666666663</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Row],[Adept]]+Races!$E$47,TblMili[[#This Row],[Column35]]+Races!$F$47),6)  +  0.45 * MIN(MIN(TblMili[[#This Row],[Adept]]+Races!$E$47,TblMili[[#This Row],[Column35]]+Races!$F$47),6)  +  0.2 * ( MAX(TblMili[[#This Row],[Adept]]+Races!$E$47-6,0) + MAX(TblMili[[#This Row],[Column35]]+Races!$F$47-6,0)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3]]*(elite1_base_op+dark_elf*TblMili[[#This Row],[Adept]])+TblMili[[#This Row],[Unit 4]]*(elite2_base_op+icekin*TblMili[[#This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44407.49999999984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44407.49999999984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0.66666666666666663</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Row],[Adept]]+Races!$E$47,TblMili[[#This Row],[Column35]]+Races!$F$47),6)  +  0.45 * MIN(MIN(TblMili[[#This Row],[Adept]]+Races!$E$47,TblMili[[#This Row],[Column35]]+Races!$F$47),6)  +  0.2 * ( MAX(TblMili[[#This Row],[Adept]]+Races!$E$47-6,0) + MAX(TblMili[[#This Row],[Column35]]+Races!$F$47-6,0)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3]]*(elite1_base_op+dark_elf*TblMili[[#This Row],[Adept]])+TblMili[[#This Row],[Unit 4]]*(elite2_base_op+icekin*TblMili[[#This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44407.541666666504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44407.541666666504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0.66666666666666663</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Row],[Adept]]+Races!$E$47,TblMili[[#This Row],[Column35]]+Races!$F$47),6)  +  0.45 * MIN(MIN(TblMili[[#This Row],[Adept]]+Races!$E$47,TblMili[[#This Row],[Column35]]+Races!$F$47),6)  +  0.2 * ( MAX(TblMili[[#This Row],[Adept]]+Races!$E$47-6,0) + MAX(TblMili[[#This Row],[Column35]]+Races!$F$47-6,0)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3]]*(elite1_base_op+dark_elf*TblMili[[#This Row],[Adept]])+TblMili[[#This Row],[Unit 4]]*(elite2_base_op+icekin*TblMili[[#This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44407.583333333168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44407.583333333168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0.66666666666666663</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Row],[Adept]]+Races!$E$47,TblMili[[#This Row],[Column35]]+Races!$F$47),6)  +  0.45 * MIN(MIN(TblMili[[#This Row],[Adept]]+Races!$E$47,TblMili[[#This Row],[Column35]]+Races!$F$47),6)  +  0.2 * ( MAX(TblMili[[#This Row],[Adept]]+Races!$E$47-6,0) + MAX(TblMili[[#This Row],[Column35]]+Races!$F$47-6,0)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3]]*(elite1_base_op+dark_elf*TblMili[[#This Row],[Adept]])+TblMili[[#This Row],[Unit 4]]*(elite2_base_op+icekin*TblMili[[#This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44407.624999999833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44407.624999999833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0.66666666666666663</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Row],[Adept]]+Races!$E$47,TblMili[[#This Row],[Column35]]+Races!$F$47),6)  +  0.45 * MIN(MIN(TblMili[[#This Row],[Adept]]+Races!$E$47,TblMili[[#This Row],[Column35]]+Races!$F$47),6)  +  0.2 * ( MAX(TblMili[[#This Row],[Adept]]+Races!$E$47-6,0) + MAX(TblMili[[#This Row],[Column35]]+Races!$F$47-6,0)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3]]*(elite1_base_op+dark_elf*TblMili[[#This Row],[Adept]])+TblMili[[#This Row],[Unit 4]]*(elite2_base_op+icekin*TblMili[[#This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44407.666666666497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44407.666666666497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0.66666666666666663</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Row],[Adept]]+Races!$E$47,TblMili[[#This Row],[Column35]]+Races!$F$47),6)  +  0.45 * MIN(MIN(TblMili[[#This Row],[Adept]]+Races!$E$47,TblMili[[#This Row],[Column35]]+Races!$F$47),6)  +  0.2 * ( MAX(TblMili[[#This Row],[Adept]]+Races!$E$47-6,0) + MAX(TblMili[[#This Row],[Column35]]+Races!$F$47-6,0)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3]]*(elite1_base_op+dark_elf*TblMili[[#This Row],[Adept]])+TblMili[[#This Row],[Unit 4]]*(elite2_base_op+icekin*TblMili[[#This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44407.708333333161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44407.708333333161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0.66666666666666663</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Row],[Adept]]+Races!$E$47,TblMili[[#This Row],[Column35]]+Races!$F$47),6)  +  0.45 * MIN(MIN(TblMili[[#This Row],[Adept]]+Races!$E$47,TblMili[[#This Row],[Column35]]+Races!$F$47),6)  +  0.2 * ( MAX(TblMili[[#This Row],[Adept]]+Races!$E$47-6,0) + MAX(TblMili[[#This Row],[Column35]]+Races!$F$47-6,0)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3]]*(elite1_base_op+dark_elf*TblMili[[#This Row],[Adept]])+TblMili[[#This Row],[Unit 4]]*(elite2_base_op+icekin*TblMili[[#This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44407.749999999825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44407.749999999825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0.66666666666666663</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Row],[Adept]]+Races!$E$47,TblMili[[#This Row],[Column35]]+Races!$F$47),6)  +  0.45 * MIN(MIN(TblMili[[#This Row],[Adept]]+Races!$E$47,TblMili[[#This Row],[Column35]]+Races!$F$47),6)  +  0.2 * ( MAX(TblMili[[#This Row],[Adept]]+Races!$E$47-6,0) + MAX(TblMili[[#This Row],[Column35]]+Races!$F$47-6,0)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3]]*(elite1_base_op+dark_elf*TblMili[[#This Row],[Adept]])+TblMili[[#This Row],[Unit 4]]*(elite2_base_op+icekin*TblMili[[#This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44407.79166666649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44407.79166666649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0.66666666666666663</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Row],[Adept]]+Races!$E$47,TblMili[[#This Row],[Column35]]+Races!$F$47),6)  +  0.45 * MIN(MIN(TblMili[[#This Row],[Adept]]+Races!$E$47,TblMili[[#This Row],[Column35]]+Races!$F$47),6)  +  0.2 * ( MAX(TblMili[[#This Row],[Adept]]+Races!$E$47-6,0) + MAX(TblMili[[#This Row],[Column35]]+Races!$F$47-6,0)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3]]*(elite1_base_op+dark_elf*TblMili[[#This Row],[Adept]])+TblMili[[#This Row],[Unit 4]]*(elite2_base_op+icekin*TblMili[[#This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44407.833333333154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44407.833333333154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0.66666666666666663</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Row],[Adept]]+Races!$E$47,TblMili[[#This Row],[Column35]]+Races!$F$47),6)  +  0.45 * MIN(MIN(TblMili[[#This Row],[Adept]]+Races!$E$47,TblMili[[#This Row],[Column35]]+Races!$F$47),6)  +  0.2 * ( MAX(TblMili[[#This Row],[Adept]]+Races!$E$47-6,0) + MAX(TblMili[[#This Row],[Column35]]+Races!$F$47-6,0)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3]]*(elite1_base_op+dark_elf*TblMili[[#This Row],[Adept]])+TblMili[[#This Row],[Unit 4]]*(elite2_base_op+icekin*TblMili[[#This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44407.874999999818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44407.874999999818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0.66666666666666663</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Row],[Adept]]+Races!$E$47,TblMili[[#This Row],[Column35]]+Races!$F$47),6)  +  0.45 * MIN(MIN(TblMili[[#This Row],[Adept]]+Races!$E$47,TblMili[[#This Row],[Column35]]+Races!$F$47),6)  +  0.2 * ( MAX(TblMili[[#This Row],[Adept]]+Races!$E$47-6,0) + MAX(TblMili[[#This Row],[Column35]]+Races!$F$47-6,0)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3]]*(elite1_base_op+dark_elf*TblMili[[#This Row],[Adept]])+TblMili[[#This Row],[Unit 4]]*(elite2_base_op+icekin*TblMili[[#This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44407.916666666482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44407.916666666482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0.66666666666666663</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Row],[Adept]]+Races!$E$47,TblMili[[#This Row],[Column35]]+Races!$F$47),6)  +  0.45 * MIN(MIN(TblMili[[#This Row],[Adept]]+Races!$E$47,TblMili[[#This Row],[Column35]]+Races!$F$47),6)  +  0.2 * ( MAX(TblMili[[#This Row],[Adept]]+Races!$E$47-6,0) + MAX(TblMili[[#This Row],[Column35]]+Races!$F$47-6,0)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3]]*(elite1_base_op+dark_elf*TblMili[[#This Row],[Adept]])+TblMili[[#This Row],[Unit 4]]*(elite2_base_op+icekin*TblMili[[#This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44407.958333333147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44407.958333333147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0.66666666666666663</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Row],[Adept]]+Races!$E$47,TblMili[[#This Row],[Column35]]+Races!$F$47),6)  +  0.45 * MIN(MIN(TblMili[[#This Row],[Adept]]+Races!$E$47,TblMili[[#This Row],[Column35]]+Races!$F$47),6)  +  0.2 * ( MAX(TblMili[[#This Row],[Adept]]+Races!$E$47-6,0) + MAX(TblMili[[#This Row],[Column35]]+Races!$F$47-6,0)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3]]*(elite1_base_op+dark_elf*TblMili[[#This Row],[Adept]])+TblMili[[#This Row],[Unit 4]]*(elite2_base_op+icekin*TblMili[[#This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44407.999999999811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44407.999999999811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0.66666666666666663</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Row],[Adept]]+Races!$E$47,TblMili[[#This Row],[Column35]]+Races!$F$47),6)  +  0.45 * MIN(MIN(TblMili[[#This Row],[Adept]]+Races!$E$47,TblMili[[#This Row],[Column35]]+Races!$F$47),6)  +  0.2 * ( MAX(TblMili[[#This Row],[Adept]]+Races!$E$47-6,0) + MAX(TblMili[[#This Row],[Column35]]+Races!$F$47-6,0)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3]]*(elite1_base_op+dark_elf*TblMili[[#This Row],[Adept]])+TblMili[[#This Row],[Unit 4]]*(elite2_base_op+icekin*TblMili[[#This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44408.041666666475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44408.041666666475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0.66666666666666663</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Row],[Adept]]+Races!$E$47,TblMili[[#This Row],[Column35]]+Races!$F$47),6)  +  0.45 * MIN(MIN(TblMili[[#This Row],[Adept]]+Races!$E$47,TblMili[[#This Row],[Column35]]+Races!$F$47),6)  +  0.2 * ( MAX(TblMili[[#This Row],[Adept]]+Races!$E$47-6,0) + MAX(TblMili[[#This Row],[Column35]]+Races!$F$47-6,0)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3]]*(elite1_base_op+dark_elf*TblMili[[#This Row],[Adept]])+TblMili[[#This Row],[Unit 4]]*(elite2_base_op+icekin*TblMili[[#This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44408.083333333139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44408.083333333139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0.66666666666666663</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Row],[Adept]]+Races!$E$47,TblMili[[#This Row],[Column35]]+Races!$F$47),6)  +  0.45 * MIN(MIN(TblMili[[#This Row],[Adept]]+Races!$E$47,TblMili[[#This Row],[Column35]]+Races!$F$47),6)  +  0.2 * ( MAX(TblMili[[#This Row],[Adept]]+Races!$E$47-6,0) + MAX(TblMili[[#This Row],[Column35]]+Races!$F$47-6,0)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3]]*(elite1_base_op+dark_elf*TblMili[[#This Row],[Adept]])+TblMili[[#This Row],[Unit 4]]*(elite2_base_op+icekin*TblMili[[#This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44408.124999999804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44408.124999999804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0.66666666666666663</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Row],[Adept]]+Races!$E$47,TblMili[[#This Row],[Column35]]+Races!$F$47),6)  +  0.45 * MIN(MIN(TblMili[[#This Row],[Adept]]+Races!$E$47,TblMili[[#This Row],[Column35]]+Races!$F$47),6)  +  0.2 * ( MAX(TblMili[[#This Row],[Adept]]+Races!$E$47-6,0) + MAX(TblMili[[#This Row],[Column35]]+Races!$F$47-6,0)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3]]*(elite1_base_op+dark_elf*TblMili[[#This Row],[Adept]])+TblMili[[#This Row],[Unit 4]]*(elite2_base_op+icekin*TblMili[[#This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44408.166666666468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44408.166666666468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0.66666666666666663</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Row],[Adept]]+Races!$E$47,TblMili[[#This Row],[Column35]]+Races!$F$47),6)  +  0.45 * MIN(MIN(TblMili[[#This Row],[Adept]]+Races!$E$47,TblMili[[#This Row],[Column35]]+Races!$F$47),6)  +  0.2 * ( MAX(TblMili[[#This Row],[Adept]]+Races!$E$47-6,0) + MAX(TblMili[[#This Row],[Column35]]+Races!$F$47-6,0)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3]]*(elite1_base_op+dark_elf*TblMili[[#This Row],[Adept]])+TblMili[[#This Row],[Unit 4]]*(elite2_base_op+icekin*TblMili[[#This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44408.208333333132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44408.208333333132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0.66666666666666663</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Row],[Adept]]+Races!$E$47,TblMili[[#This Row],[Column35]]+Races!$F$47),6)  +  0.45 * MIN(MIN(TblMili[[#This Row],[Adept]]+Races!$E$47,TblMili[[#This Row],[Column35]]+Races!$F$47),6)  +  0.2 * ( MAX(TblMili[[#This Row],[Adept]]+Races!$E$47-6,0) + MAX(TblMili[[#This Row],[Column35]]+Races!$F$47-6,0)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3]]*(elite1_base_op+dark_elf*TblMili[[#This Row],[Adept]])+TblMili[[#This Row],[Unit 4]]*(elite2_base_op+icekin*TblMili[[#This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44408.249999999796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44408.249999999796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0.66666666666666663</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Row],[Adept]]+Races!$E$47,TblMili[[#This Row],[Column35]]+Races!$F$47),6)  +  0.45 * MIN(MIN(TblMili[[#This Row],[Adept]]+Races!$E$47,TblMili[[#This Row],[Column35]]+Races!$F$47),6)  +  0.2 * ( MAX(TblMili[[#This Row],[Adept]]+Races!$E$47-6,0) + MAX(TblMili[[#This Row],[Column35]]+Races!$F$47-6,0)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3]]*(elite1_base_op+dark_elf*TblMili[[#This Row],[Adept]])+TblMili[[#This Row],[Unit 4]]*(elite2_base_op+icekin*TblMili[[#This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44408.291666666461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44408.291666666461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0.66666666666666663</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Row],[Adept]]+Races!$E$47,TblMili[[#This Row],[Column35]]+Races!$F$47),6)  +  0.45 * MIN(MIN(TblMili[[#This Row],[Adept]]+Races!$E$47,TblMili[[#This Row],[Column35]]+Races!$F$47),6)  +  0.2 * ( MAX(TblMili[[#This Row],[Adept]]+Races!$E$47-6,0) + MAX(TblMili[[#This Row],[Column35]]+Races!$F$47-6,0)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3]]*(elite1_base_op+dark_elf*TblMili[[#This Row],[Adept]])+TblMili[[#This Row],[Unit 4]]*(elite2_base_op+icekin*TblMili[[#This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44408.333333333125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44408.333333333125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0.66666666666666663</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Row],[Adept]]+Races!$E$47,TblMili[[#This Row],[Column35]]+Races!$F$47),6)  +  0.45 * MIN(MIN(TblMili[[#This Row],[Adept]]+Races!$E$47,TblMili[[#This Row],[Column35]]+Races!$F$47),6)  +  0.2 * ( MAX(TblMili[[#This Row],[Adept]]+Races!$E$47-6,0) + MAX(TblMili[[#This Row],[Column35]]+Races!$F$47-6,0)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3]]*(elite1_base_op+dark_elf*TblMili[[#This Row],[Adept]])+TblMili[[#This Row],[Unit 4]]*(elite2_base_op+icekin*TblMili[[#This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44408.374999999789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44408.374999999789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0.66666666666666663</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Row],[Adept]]+Races!$E$47,TblMili[[#This Row],[Column35]]+Races!$F$47),6)  +  0.45 * MIN(MIN(TblMili[[#This Row],[Adept]]+Races!$E$47,TblMili[[#This Row],[Column35]]+Races!$F$47),6)  +  0.2 * ( MAX(TblMili[[#This Row],[Adept]]+Races!$E$47-6,0) + MAX(TblMili[[#This Row],[Column35]]+Races!$F$47-6,0)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3]]*(elite1_base_op+dark_elf*TblMili[[#This Row],[Adept]])+TblMili[[#This Row],[Unit 4]]*(elite2_base_op+icekin*TblMili[[#This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44408.416666666453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44408.416666666453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0.66666666666666663</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Row],[Adept]]+Races!$E$47,TblMili[[#This Row],[Column35]]+Races!$F$47),6)  +  0.45 * MIN(MIN(TblMili[[#This Row],[Adept]]+Races!$E$47,TblMili[[#This Row],[Column35]]+Races!$F$47),6)  +  0.2 * ( MAX(TblMili[[#This Row],[Adept]]+Races!$E$47-6,0) + MAX(TblMili[[#This Row],[Column35]]+Races!$F$47-6,0)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3]]*(elite1_base_op+dark_elf*TblMili[[#This Row],[Adept]])+TblMili[[#This Row],[Unit 4]]*(elite2_base_op+icekin*TblMili[[#This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44408.458333333117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44408.458333333117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0.66666666666666663</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Row],[Adept]]+Races!$E$47,TblMili[[#This Row],[Column35]]+Races!$F$47),6)  +  0.45 * MIN(MIN(TblMili[[#This Row],[Adept]]+Races!$E$47,TblMili[[#This Row],[Column35]]+Races!$F$47),6)  +  0.2 * ( MAX(TblMili[[#This Row],[Adept]]+Races!$E$47-6,0) + MAX(TblMili[[#This Row],[Column35]]+Races!$F$47-6,0)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3]]*(elite1_base_op+dark_elf*TblMili[[#This Row],[Adept]])+TblMili[[#This Row],[Unit 4]]*(elite2_base_op+icekin*TblMili[[#This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44408.499999999782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44408.499999999782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0.66666666666666663</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Row],[Adept]]+Races!$E$47,TblMili[[#This Row],[Column35]]+Races!$F$47),6)  +  0.45 * MIN(MIN(TblMili[[#This Row],[Adept]]+Races!$E$47,TblMili[[#This Row],[Column35]]+Races!$F$47),6)  +  0.2 * ( MAX(TblMili[[#This Row],[Adept]]+Races!$E$47-6,0) + MAX(TblMili[[#This Row],[Column35]]+Races!$F$47-6,0)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3]]*(elite1_base_op+dark_elf*TblMili[[#This Row],[Adept]])+TblMili[[#This Row],[Unit 4]]*(elite2_base_op+icekin*TblMili[[#This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44408.541666666446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44408.541666666446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0.66666666666666663</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Row],[Adept]]+Races!$E$47,TblMili[[#This Row],[Column35]]+Races!$F$47),6)  +  0.45 * MIN(MIN(TblMili[[#This Row],[Adept]]+Races!$E$47,TblMili[[#This Row],[Column35]]+Races!$F$47),6)  +  0.2 * ( MAX(TblMili[[#This Row],[Adept]]+Races!$E$47-6,0) + MAX(TblMili[[#This Row],[Column35]]+Races!$F$47-6,0)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3]]*(elite1_base_op+dark_elf*TblMili[[#This Row],[Adept]])+TblMili[[#This Row],[Unit 4]]*(elite2_base_op+icekin*TblMili[[#This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44408.58333333311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44408.58333333311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0.66666666666666663</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Row],[Adept]]+Races!$E$47,TblMili[[#This Row],[Column35]]+Races!$F$47),6)  +  0.45 * MIN(MIN(TblMili[[#This Row],[Adept]]+Races!$E$47,TblMili[[#This Row],[Column35]]+Races!$F$47),6)  +  0.2 * ( MAX(TblMili[[#This Row],[Adept]]+Races!$E$47-6,0) + MAX(TblMili[[#This Row],[Column35]]+Races!$F$47-6,0)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3]]*(elite1_base_op+dark_elf*TblMili[[#This Row],[Adept]])+TblMili[[#This Row],[Unit 4]]*(elite2_base_op+icekin*TblMili[[#This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44408.624999999774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44408.624999999774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0.66666666666666663</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Row],[Adept]]+Races!$E$47,TblMili[[#This Row],[Column35]]+Races!$F$47),6)  +  0.45 * MIN(MIN(TblMili[[#This Row],[Adept]]+Races!$E$47,TblMili[[#This Row],[Column35]]+Races!$F$47),6)  +  0.2 * ( MAX(TblMili[[#This Row],[Adept]]+Races!$E$47-6,0) + MAX(TblMili[[#This Row],[Column35]]+Races!$F$47-6,0)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3]]*(elite1_base_op+dark_elf*TblMili[[#This Row],[Adept]])+TblMili[[#This Row],[Unit 4]]*(elite2_base_op+icekin*TblMili[[#This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44408.666666666439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44408.666666666439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0.66666666666666663</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Row],[Adept]]+Races!$E$47,TblMili[[#This Row],[Column35]]+Races!$F$47),6)  +  0.45 * MIN(MIN(TblMili[[#This Row],[Adept]]+Races!$E$47,TblMili[[#This Row],[Column35]]+Races!$F$47),6)  +  0.2 * ( MAX(TblMili[[#This Row],[Adept]]+Races!$E$47-6,0) + MAX(TblMili[[#This Row],[Column35]]+Races!$F$47-6,0)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3]]*(elite1_base_op+dark_elf*TblMili[[#This Row],[Adept]])+TblMili[[#This Row],[Unit 4]]*(elite2_base_op+icekin*TblMili[[#This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44408.708333333103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44408.708333333103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0.66666666666666663</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Row],[Adept]]+Races!$E$47,TblMili[[#This Row],[Column35]]+Races!$F$47),6)  +  0.45 * MIN(MIN(TblMili[[#This Row],[Adept]]+Races!$E$47,TblMili[[#This Row],[Column35]]+Races!$F$47),6)  +  0.2 * ( MAX(TblMili[[#This Row],[Adept]]+Races!$E$47-6,0) + MAX(TblMili[[#This Row],[Column35]]+Races!$F$47-6,0)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3]]*(elite1_base_op+dark_elf*TblMili[[#This Row],[Adept]])+TblMili[[#This Row],[Unit 4]]*(elite2_base_op+icekin*TblMili[[#This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44408.749999999767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44408.749999999767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0.66666666666666663</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Row],[Adept]]+Races!$E$47,TblMili[[#This Row],[Column35]]+Races!$F$47),6)  +  0.45 * MIN(MIN(TblMili[[#This Row],[Adept]]+Races!$E$47,TblMili[[#This Row],[Column35]]+Races!$F$47),6)  +  0.2 * ( MAX(TblMili[[#This Row],[Adept]]+Races!$E$47-6,0) + MAX(TblMili[[#This Row],[Column35]]+Races!$F$47-6,0)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3]]*(elite1_base_op+dark_elf*TblMili[[#This Row],[Adept]])+TblMili[[#This Row],[Unit 4]]*(elite2_base_op+icekin*TblMili[[#This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44408.791666666431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44408.791666666431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0.66666666666666663</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Row],[Adept]]+Races!$E$47,TblMili[[#This Row],[Column35]]+Races!$F$47),6)  +  0.45 * MIN(MIN(TblMili[[#This Row],[Adept]]+Races!$E$47,TblMili[[#This Row],[Column35]]+Races!$F$47),6)  +  0.2 * ( MAX(TblMili[[#This Row],[Adept]]+Races!$E$47-6,0) + MAX(TblMili[[#This Row],[Column35]]+Races!$F$47-6,0)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3]]*(elite1_base_op+dark_elf*TblMili[[#This Row],[Adept]])+TblMili[[#This Row],[Unit 4]]*(elite2_base_op+icekin*TblMili[[#This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44408.833333333096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44408.833333333096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0.66666666666666663</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Row],[Adept]]+Races!$E$47,TblMili[[#This Row],[Column35]]+Races!$F$47),6)  +  0.45 * MIN(MIN(TblMili[[#This Row],[Adept]]+Races!$E$47,TblMili[[#This Row],[Column35]]+Races!$F$47),6)  +  0.2 * ( MAX(TblMili[[#This Row],[Adept]]+Races!$E$47-6,0) + MAX(TblMili[[#This Row],[Column35]]+Races!$F$47-6,0)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3]]*(elite1_base_op+dark_elf*TblMili[[#This Row],[Adept]])+TblMili[[#This Row],[Unit 4]]*(elite2_base_op+icekin*TblMili[[#This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44408.87499999976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44408.87499999976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0.66666666666666663</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Row],[Adept]]+Races!$E$47,TblMili[[#This Row],[Column35]]+Races!$F$47),6)  +  0.45 * MIN(MIN(TblMili[[#This Row],[Adept]]+Races!$E$47,TblMili[[#This Row],[Column35]]+Races!$F$47),6)  +  0.2 * ( MAX(TblMili[[#This Row],[Adept]]+Races!$E$47-6,0) + MAX(TblMili[[#This Row],[Column35]]+Races!$F$47-6,0)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3]]*(elite1_base_op+dark_elf*TblMili[[#This Row],[Adept]])+TblMili[[#This Row],[Unit 4]]*(elite2_base_op+icekin*TblMili[[#This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44408.916666666424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44408.916666666424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0.66666666666666663</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Row],[Adept]]+Races!$E$47,TblMili[[#This Row],[Column35]]+Races!$F$47),6)  +  0.45 * MIN(MIN(TblMili[[#This Row],[Adept]]+Races!$E$47,TblMili[[#This Row],[Column35]]+Races!$F$47),6)  +  0.2 * ( MAX(TblMili[[#This Row],[Adept]]+Races!$E$47-6,0) + MAX(TblMili[[#This Row],[Column35]]+Races!$F$47-6,0)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3]]*(elite1_base_op+dark_elf*TblMili[[#This Row],[Adept]])+TblMili[[#This Row],[Unit 4]]*(elite2_base_op+icekin*TblMili[[#This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44408.958333333088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44408.958333333088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0.66666666666666663</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Row],[Adept]]+Races!$E$47,TblMili[[#This Row],[Column35]]+Races!$F$47),6)  +  0.45 * MIN(MIN(TblMili[[#This Row],[Adept]]+Races!$E$47,TblMili[[#This Row],[Column35]]+Races!$F$47),6)  +  0.2 * ( MAX(TblMili[[#This Row],[Adept]]+Races!$E$47-6,0) + MAX(TblMili[[#This Row],[Column35]]+Races!$F$47-6,0)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3]]*(elite1_base_op+dark_elf*TblMili[[#This Row],[Adept]])+TblMili[[#This Row],[Unit 4]]*(elite2_base_op+icekin*TblMili[[#This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44408.999999999753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44408.999999999753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0.66666666666666663</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Row],[Adept]]+Races!$E$47,TblMili[[#This Row],[Column35]]+Races!$F$47),6)  +  0.45 * MIN(MIN(TblMili[[#This Row],[Adept]]+Races!$E$47,TblMili[[#This Row],[Column35]]+Races!$F$47),6)  +  0.2 * ( MAX(TblMili[[#This Row],[Adept]]+Races!$E$47-6,0) + MAX(TblMili[[#This Row],[Column35]]+Races!$F$47-6,0)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3]]*(elite1_base_op+dark_elf*TblMili[[#This Row],[Adept]])+TblMili[[#This Row],[Unit 4]]*(elite2_base_op+icekin*TblMili[[#This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44409.041666666417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44409.041666666417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0.66666666666666663</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Row],[Adept]]+Races!$E$47,TblMili[[#This Row],[Column35]]+Races!$F$47),6)  +  0.45 * MIN(MIN(TblMili[[#This Row],[Adept]]+Races!$E$47,TblMili[[#This Row],[Column35]]+Races!$F$47),6)  +  0.2 * ( MAX(TblMili[[#This Row],[Adept]]+Races!$E$47-6,0) + MAX(TblMili[[#This Row],[Column35]]+Races!$F$47-6,0)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3]]*(elite1_base_op+dark_elf*TblMili[[#This Row],[Adept]])+TblMili[[#This Row],[Unit 4]]*(elite2_base_op+icekin*TblMili[[#This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44409.083333333081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44409.083333333081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0.66666666666666663</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Row],[Adept]]+Races!$E$47,TblMili[[#This Row],[Column35]]+Races!$F$47),6)  +  0.45 * MIN(MIN(TblMili[[#This Row],[Adept]]+Races!$E$47,TblMili[[#This Row],[Column35]]+Races!$F$47),6)  +  0.2 * ( MAX(TblMili[[#This Row],[Adept]]+Races!$E$47-6,0) + MAX(TblMili[[#This Row],[Column35]]+Races!$F$47-6,0)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3]]*(elite1_base_op+dark_elf*TblMili[[#This Row],[Adept]])+TblMili[[#This Row],[Unit 4]]*(elite2_base_op+icekin*TblMili[[#This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44409.124999999745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44409.124999999745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0.66666666666666663</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Row],[Adept]]+Races!$E$47,TblMili[[#This Row],[Column35]]+Races!$F$47),6)  +  0.45 * MIN(MIN(TblMili[[#This Row],[Adept]]+Races!$E$47,TblMili[[#This Row],[Column35]]+Races!$F$47),6)  +  0.2 * ( MAX(TblMili[[#This Row],[Adept]]+Races!$E$47-6,0) + MAX(TblMili[[#This Row],[Column35]]+Races!$F$47-6,0)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3]]*(elite1_base_op+dark_elf*TblMili[[#This Row],[Adept]])+TblMili[[#This Row],[Unit 4]]*(elite2_base_op+icekin*TblMili[[#This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44409.16666666641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44409.16666666641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0.66666666666666663</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Row],[Adept]]+Races!$E$47,TblMili[[#This Row],[Column35]]+Races!$F$47),6)  +  0.45 * MIN(MIN(TblMili[[#This Row],[Adept]]+Races!$E$47,TblMili[[#This Row],[Column35]]+Races!$F$47),6)  +  0.2 * ( MAX(TblMili[[#This Row],[Adept]]+Races!$E$47-6,0) + MAX(TblMili[[#This Row],[Column35]]+Races!$F$47-6,0)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3]]*(elite1_base_op+dark_elf*TblMili[[#This Row],[Adept]])+TblMili[[#This Row],[Unit 4]]*(elite2_base_op+icekin*TblMili[[#This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44409.208333333074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44409.208333333074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0.66666666666666663</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Row],[Adept]]+Races!$E$47,TblMili[[#This Row],[Column35]]+Races!$F$47),6)  +  0.45 * MIN(MIN(TblMili[[#This Row],[Adept]]+Races!$E$47,TblMili[[#This Row],[Column35]]+Races!$F$47),6)  +  0.2 * ( MAX(TblMili[[#This Row],[Adept]]+Races!$E$47-6,0) + MAX(TblMili[[#This Row],[Column35]]+Races!$F$47-6,0)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3]]*(elite1_base_op+dark_elf*TblMili[[#This Row],[Adept]])+TblMili[[#This Row],[Unit 4]]*(elite2_base_op+icekin*TblMili[[#This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44409.249999999738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44409.249999999738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0.66666666666666663</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Row],[Adept]]+Races!$E$47,TblMili[[#This Row],[Column35]]+Races!$F$47),6)  +  0.45 * MIN(MIN(TblMili[[#This Row],[Adept]]+Races!$E$47,TblMili[[#This Row],[Column35]]+Races!$F$47),6)  +  0.2 * ( MAX(TblMili[[#This Row],[Adept]]+Races!$E$47-6,0) + MAX(TblMili[[#This Row],[Column35]]+Races!$F$47-6,0)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3]]*(elite1_base_op+dark_elf*TblMili[[#This Row],[Adept]])+TblMili[[#This Row],[Unit 4]]*(elite2_base_op+icekin*TblMili[[#This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44409.291666666402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44409.291666666402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0.66666666666666663</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Row],[Adept]]+Races!$E$47,TblMili[[#This Row],[Column35]]+Races!$F$47),6)  +  0.45 * MIN(MIN(TblMili[[#This Row],[Adept]]+Races!$E$47,TblMili[[#This Row],[Column35]]+Races!$F$47),6)  +  0.2 * ( MAX(TblMili[[#This Row],[Adept]]+Races!$E$47-6,0) + MAX(TblMili[[#This Row],[Column35]]+Races!$F$47-6,0)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3]]*(elite1_base_op+dark_elf*TblMili[[#This Row],[Adept]])+TblMili[[#This Row],[Unit 4]]*(elite2_base_op+icekin*TblMili[[#This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44409.333333333067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44409.333333333067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0.66666666666666663</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Row],[Adept]]+Races!$E$47,TblMili[[#This Row],[Column35]]+Races!$F$47),6)  +  0.45 * MIN(MIN(TblMili[[#This Row],[Adept]]+Races!$E$47,TblMili[[#This Row],[Column35]]+Races!$F$47),6)  +  0.2 * ( MAX(TblMili[[#This Row],[Adept]]+Races!$E$47-6,0) + MAX(TblMili[[#This Row],[Column35]]+Races!$F$47-6,0)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3]]*(elite1_base_op+dark_elf*TblMili[[#This Row],[Adept]])+TblMili[[#This Row],[Unit 4]]*(elite2_base_op+icekin*TblMili[[#This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44409.374999999731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44409.374999999731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0.66666666666666663</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Row],[Adept]]+Races!$E$47,TblMili[[#This Row],[Column35]]+Races!$F$47),6)  +  0.45 * MIN(MIN(TblMili[[#This Row],[Adept]]+Races!$E$47,TblMili[[#This Row],[Column35]]+Races!$F$47),6)  +  0.2 * ( MAX(TblMili[[#This Row],[Adept]]+Races!$E$47-6,0) + MAX(TblMili[[#This Row],[Column35]]+Races!$F$47-6,0)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3]]*(elite1_base_op+dark_elf*TblMili[[#This Row],[Adept]])+TblMili[[#This Row],[Unit 4]]*(elite2_base_op+icekin*TblMili[[#This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44409.416666666395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44409.416666666395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0.66666666666666663</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Row],[Adept]]+Races!$E$47,TblMili[[#This Row],[Column35]]+Races!$F$47),6)  +  0.45 * MIN(MIN(TblMili[[#This Row],[Adept]]+Races!$E$47,TblMili[[#This Row],[Column35]]+Races!$F$47),6)  +  0.2 * ( MAX(TblMili[[#This Row],[Adept]]+Races!$E$47-6,0) + MAX(TblMili[[#This Row],[Column35]]+Races!$F$47-6,0)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3]]*(elite1_base_op+dark_elf*TblMili[[#This Row],[Adept]])+TblMili[[#This Row],[Unit 4]]*(elite2_base_op+icekin*TblMili[[#This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44409.458333333059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44409.458333333059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0.66666666666666663</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Row],[Adept]]+Races!$E$47,TblMili[[#This Row],[Column35]]+Races!$F$47),6)  +  0.45 * MIN(MIN(TblMili[[#This Row],[Adept]]+Races!$E$47,TblMili[[#This Row],[Column35]]+Races!$F$47),6)  +  0.2 * ( MAX(TblMili[[#This Row],[Adept]]+Races!$E$47-6,0) + MAX(TblMili[[#This Row],[Column35]]+Races!$F$47-6,0)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3]]*(elite1_base_op+dark_elf*TblMili[[#This Row],[Adept]])+TblMili[[#This Row],[Unit 4]]*(elite2_base_op+icekin*TblMili[[#This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44409.499999999724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44409.499999999724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0.66666666666666663</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Row],[Adept]]+Races!$E$47,TblMili[[#This Row],[Column35]]+Races!$F$47),6)  +  0.45 * MIN(MIN(TblMili[[#This Row],[Adept]]+Races!$E$47,TblMili[[#This Row],[Column35]]+Races!$F$47),6)  +  0.2 * ( MAX(TblMili[[#This Row],[Adept]]+Races!$E$47-6,0) + MAX(TblMili[[#This Row],[Column35]]+Races!$F$47-6,0)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3]]*(elite1_base_op+dark_elf*TblMili[[#This Row],[Adept]])+TblMili[[#This Row],[Unit 4]]*(elite2_base_op+icekin*TblMili[[#This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44409.541666666388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44409.541666666388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0.66666666666666663</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Row],[Adept]]+Races!$E$47,TblMili[[#This Row],[Column35]]+Races!$F$47),6)  +  0.45 * MIN(MIN(TblMili[[#This Row],[Adept]]+Races!$E$47,TblMili[[#This Row],[Column35]]+Races!$F$47),6)  +  0.2 * ( MAX(TblMili[[#This Row],[Adept]]+Races!$E$47-6,0) + MAX(TblMili[[#This Row],[Column35]]+Races!$F$47-6,0)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3]]*(elite1_base_op+dark_elf*TblMili[[#This Row],[Adept]])+TblMili[[#This Row],[Unit 4]]*(elite2_base_op+icekin*TblMili[[#This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44409.583333333052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44409.583333333052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0.66666666666666663</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Row],[Adept]]+Races!$E$47,TblMili[[#This Row],[Column35]]+Races!$F$47),6)  +  0.45 * MIN(MIN(TblMili[[#This Row],[Adept]]+Races!$E$47,TblMili[[#This Row],[Column35]]+Races!$F$47),6)  +  0.2 * ( MAX(TblMili[[#This Row],[Adept]]+Races!$E$47-6,0) + MAX(TblMili[[#This Row],[Column35]]+Races!$F$47-6,0)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3]]*(elite1_base_op+dark_elf*TblMili[[#This Row],[Adept]])+TblMili[[#This Row],[Unit 4]]*(elite2_base_op+icekin*TblMili[[#This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44409.624999999716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44409.624999999716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0.66666666666666663</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Row],[Adept]]+Races!$E$47,TblMili[[#This Row],[Column35]]+Races!$F$47),6)  +  0.45 * MIN(MIN(TblMili[[#This Row],[Adept]]+Races!$E$47,TblMili[[#This Row],[Column35]]+Races!$F$47),6)  +  0.2 * ( MAX(TblMili[[#This Row],[Adept]]+Races!$E$47-6,0) + MAX(TblMili[[#This Row],[Column35]]+Races!$F$47-6,0)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3]]*(elite1_base_op+dark_elf*TblMili[[#This Row],[Adept]])+TblMili[[#This Row],[Unit 4]]*(elite2_base_op+icekin*TblMili[[#This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44409.66666666638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44409.66666666638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0.66666666666666663</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Row],[Adept]]+Races!$E$47,TblMili[[#This Row],[Column35]]+Races!$F$47),6)  +  0.45 * MIN(MIN(TblMili[[#This Row],[Adept]]+Races!$E$47,TblMili[[#This Row],[Column35]]+Races!$F$47),6)  +  0.2 * ( MAX(TblMili[[#This Row],[Adept]]+Races!$E$47-6,0) + MAX(TblMili[[#This Row],[Column35]]+Races!$F$47-6,0)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3]]*(elite1_base_op+dark_elf*TblMili[[#This Row],[Adept]])+TblMili[[#This Row],[Unit 4]]*(elite2_base_op+icekin*TblMili[[#This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44409.708333333045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44409.708333333045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0.66666666666666663</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Row],[Adept]]+Races!$E$47,TblMili[[#This Row],[Column35]]+Races!$F$47),6)  +  0.45 * MIN(MIN(TblMili[[#This Row],[Adept]]+Races!$E$47,TblMili[[#This Row],[Column35]]+Races!$F$47),6)  +  0.2 * ( MAX(TblMili[[#This Row],[Adept]]+Races!$E$47-6,0) + MAX(TblMili[[#This Row],[Column35]]+Races!$F$47-6,0)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3]]*(elite1_base_op+dark_elf*TblMili[[#This Row],[Adept]])+TblMili[[#This Row],[Unit 4]]*(elite2_base_op+icekin*TblMili[[#This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44409.749999999709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44409.749999999709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0.66666666666666663</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Row],[Adept]]+Races!$E$47,TblMili[[#This Row],[Column35]]+Races!$F$47),6)  +  0.45 * MIN(MIN(TblMili[[#This Row],[Adept]]+Races!$E$47,TblMili[[#This Row],[Column35]]+Races!$F$47),6)  +  0.2 * ( MAX(TblMili[[#This Row],[Adept]]+Races!$E$47-6,0) + MAX(TblMili[[#This Row],[Column35]]+Races!$F$47-6,0)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3]]*(elite1_base_op+dark_elf*TblMili[[#This Row],[Adept]])+TblMili[[#This Row],[Unit 4]]*(elite2_base_op+icekin*TblMili[[#This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44409.791666666373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44409.791666666373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0.66666666666666663</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Row],[Adept]]+Races!$E$47,TblMili[[#This Row],[Column35]]+Races!$F$47),6)  +  0.45 * MIN(MIN(TblMili[[#This Row],[Adept]]+Races!$E$47,TblMili[[#This Row],[Column35]]+Races!$F$47),6)  +  0.2 * ( MAX(TblMili[[#This Row],[Adept]]+Races!$E$47-6,0) + MAX(TblMili[[#This Row],[Column35]]+Races!$F$47-6,0)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3]]*(elite1_base_op+dark_elf*TblMili[[#This Row],[Adept]])+TblMili[[#This Row],[Unit 4]]*(elite2_base_op+icekin*TblMili[[#This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44409.833333333037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44409.833333333037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0.66666666666666663</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Row],[Adept]]+Races!$E$47,TblMili[[#This Row],[Column35]]+Races!$F$47),6)  +  0.45 * MIN(MIN(TblMili[[#This Row],[Adept]]+Races!$E$47,TblMili[[#This Row],[Column35]]+Races!$F$47),6)  +  0.2 * ( MAX(TblMili[[#This Row],[Adept]]+Races!$E$47-6,0) + MAX(TblMili[[#This Row],[Column35]]+Races!$F$47-6,0)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3]]*(elite1_base_op+dark_elf*TblMili[[#This Row],[Adept]])+TblMili[[#This Row],[Unit 4]]*(elite2_base_op+icekin*TblMili[[#This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44409.874999999702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44409.874999999702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0.66666666666666663</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Row],[Adept]]+Races!$E$47,TblMili[[#This Row],[Column35]]+Races!$F$47),6)  +  0.45 * MIN(MIN(TblMili[[#This Row],[Adept]]+Races!$E$47,TblMili[[#This Row],[Column35]]+Races!$F$47),6)  +  0.2 * ( MAX(TblMili[[#This Row],[Adept]]+Races!$E$47-6,0) + MAX(TblMili[[#This Row],[Column35]]+Races!$F$47-6,0)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3]]*(elite1_base_op+dark_elf*TblMili[[#This Row],[Adept]])+TblMili[[#This Row],[Unit 4]]*(elite2_base_op+icekin*TblMili[[#This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44409.916666666366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44409.916666666366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0.66666666666666663</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Row],[Adept]]+Races!$E$47,TblMili[[#This Row],[Column35]]+Races!$F$47),6)  +  0.45 * MIN(MIN(TblMili[[#This Row],[Adept]]+Races!$E$47,TblMili[[#This Row],[Column35]]+Races!$F$47),6)  +  0.2 * ( MAX(TblMili[[#This Row],[Adept]]+Races!$E$47-6,0) + MAX(TblMili[[#This Row],[Column35]]+Races!$F$47-6,0)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3]]*(elite1_base_op+dark_elf*TblMili[[#This Row],[Adept]])+TblMili[[#This Row],[Unit 4]]*(elite2_base_op+icekin*TblMili[[#This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44409.95833333303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44409.95833333303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0.66666666666666663</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Row],[Adept]]+Races!$E$47,TblMili[[#This Row],[Column35]]+Races!$F$47),6)  +  0.45 * MIN(MIN(TblMili[[#This Row],[Adept]]+Races!$E$47,TblMili[[#This Row],[Column35]]+Races!$F$47),6)  +  0.2 * ( MAX(TblMili[[#This Row],[Adept]]+Races!$E$47-6,0) + MAX(TblMili[[#This Row],[Column35]]+Races!$F$47-6,0)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3]]*(elite1_base_op+dark_elf*TblMili[[#This Row],[Adept]])+TblMili[[#This Row],[Unit 4]]*(elite2_base_op+icekin*TblMili[[#This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44409.999999999694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44409.999999999694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0.66666666666666663</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Row],[Adept]]+Races!$E$47,TblMili[[#This Row],[Column35]]+Races!$F$47),6)  +  0.45 * MIN(MIN(TblMili[[#This Row],[Adept]]+Races!$E$47,TblMili[[#This Row],[Column35]]+Races!$F$47),6)  +  0.2 * ( MAX(TblMili[[#This Row],[Adept]]+Races!$E$47-6,0) + MAX(TblMili[[#This Row],[Column35]]+Races!$F$47-6,0)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3]]*(elite1_base_op+dark_elf*TblMili[[#This Row],[Adept]])+TblMili[[#This Row],[Unit 4]]*(elite2_base_op+icekin*TblMili[[#This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44410.041666666359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44410.041666666359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0.66666666666666663</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Row],[Adept]]+Races!$E$47,TblMili[[#This Row],[Column35]]+Races!$F$47),6)  +  0.45 * MIN(MIN(TblMili[[#This Row],[Adept]]+Races!$E$47,TblMili[[#This Row],[Column35]]+Races!$F$47),6)  +  0.2 * ( MAX(TblMili[[#This Row],[Adept]]+Races!$E$47-6,0) + MAX(TblMili[[#This Row],[Column35]]+Races!$F$47-6,0)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3]]*(elite1_base_op+dark_elf*TblMili[[#This Row],[Adept]])+TblMili[[#This Row],[Unit 4]]*(elite2_base_op+icekin*TblMili[[#This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44410.083333333023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44410.083333333023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0.66666666666666663</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Row],[Adept]]+Races!$E$47,TblMili[[#This Row],[Column35]]+Races!$F$47),6)  +  0.45 * MIN(MIN(TblMili[[#This Row],[Adept]]+Races!$E$47,TblMili[[#This Row],[Column35]]+Races!$F$47),6)  +  0.2 * ( MAX(TblMili[[#This Row],[Adept]]+Races!$E$47-6,0) + MAX(TblMili[[#This Row],[Column35]]+Races!$F$47-6,0)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3]]*(elite1_base_op+dark_elf*TblMili[[#This Row],[Adept]])+TblMili[[#This Row],[Unit 4]]*(elite2_base_op+icekin*TblMili[[#This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44410.124999999687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44410.124999999687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0.66666666666666663</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Row],[Adept]]+Races!$E$47,TblMili[[#This Row],[Column35]]+Races!$F$47),6)  +  0.45 * MIN(MIN(TblMili[[#This Row],[Adept]]+Races!$E$47,TblMili[[#This Row],[Column35]]+Races!$F$47),6)  +  0.2 * ( MAX(TblMili[[#This Row],[Adept]]+Races!$E$47-6,0) + MAX(TblMili[[#This Row],[Column35]]+Races!$F$47-6,0)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3]]*(elite1_base_op+dark_elf*TblMili[[#This Row],[Adept]])+TblMili[[#This Row],[Unit 4]]*(elite2_base_op+icekin*TblMili[[#This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44410.166666666351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44410.166666666351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0.66666666666666663</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Row],[Adept]]+Races!$E$47,TblMili[[#This Row],[Column35]]+Races!$F$47),6)  +  0.45 * MIN(MIN(TblMili[[#This Row],[Adept]]+Races!$E$47,TblMili[[#This Row],[Column35]]+Races!$F$47),6)  +  0.2 * ( MAX(TblMili[[#This Row],[Adept]]+Races!$E$47-6,0) + MAX(TblMili[[#This Row],[Column35]]+Races!$F$47-6,0)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3]]*(elite1_base_op+dark_elf*TblMili[[#This Row],[Adept]])+TblMili[[#This Row],[Unit 4]]*(elite2_base_op+icekin*TblMili[[#This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44410.208333333016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44410.208333333016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0.66666666666666663</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Row],[Adept]]+Races!$E$47,TblMili[[#This Row],[Column35]]+Races!$F$47),6)  +  0.45 * MIN(MIN(TblMili[[#This Row],[Adept]]+Races!$E$47,TblMili[[#This Row],[Column35]]+Races!$F$47),6)  +  0.2 * ( MAX(TblMili[[#This Row],[Adept]]+Races!$E$47-6,0) + MAX(TblMili[[#This Row],[Column35]]+Races!$F$47-6,0)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3]]*(elite1_base_op+dark_elf*TblMili[[#This Row],[Adept]])+TblMili[[#This Row],[Unit 4]]*(elite2_base_op+icekin*TblMili[[#This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44410.24999999968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44410.24999999968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0.66666666666666663</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Row],[Adept]]+Races!$E$47,TblMili[[#This Row],[Column35]]+Races!$F$47),6)  +  0.45 * MIN(MIN(TblMili[[#This Row],[Adept]]+Races!$E$47,TblMili[[#This Row],[Column35]]+Races!$F$47),6)  +  0.2 * ( MAX(TblMili[[#This Row],[Adept]]+Races!$E$47-6,0) + MAX(TblMili[[#This Row],[Column35]]+Races!$F$47-6,0)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85" t="s">
        <v>327</v>
      </c>
      <c r="C1269" s="585"/>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2" priority="37" stopIfTrue="1">
      <formula>ROW()-2=#REF!</formula>
    </cfRule>
  </conditionalFormatting>
  <conditionalFormatting sqref="A1269:DB1270">
    <cfRule type="expression" dxfId="381" priority="38" stopIfTrue="1">
      <formula>$B$1270&gt;144</formula>
    </cfRule>
  </conditionalFormatting>
  <conditionalFormatting sqref="A4:DB136">
    <cfRule type="expression" dxfId="380" priority="1" stopIfTrue="1">
      <formula>ROW()-3=$B$1270</formula>
    </cfRule>
    <cfRule type="expression" dxfId="379" priority="2" stopIfTrue="1">
      <formula>OR(ROW()-3=$B$1270,A4&lt;0)</formula>
    </cfRule>
    <cfRule type="expression" dxfId="378" priority="35">
      <formula>$A4=73</formula>
    </cfRule>
  </conditionalFormatting>
  <conditionalFormatting sqref="A3:DB136">
    <cfRule type="expression" dxfId="377" priority="39">
      <formula>ROUND(($A3-1)/12,0)=INT($A3-1)/12</formula>
    </cfRule>
  </conditionalFormatting>
  <conditionalFormatting sqref="A1:XFD3">
    <cfRule type="expression" dxfId="376"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7" t="s">
        <v>495</v>
      </c>
      <c r="W1" s="194" t="s">
        <v>33</v>
      </c>
      <c r="Z1" s="194" t="s">
        <v>217</v>
      </c>
      <c r="AE1" s="194" t="s">
        <v>91</v>
      </c>
      <c r="AF1" s="194" t="s">
        <v>94</v>
      </c>
      <c r="AG1" s="194" t="s">
        <v>93</v>
      </c>
      <c r="AH1" s="194" t="s">
        <v>373</v>
      </c>
      <c r="AI1" s="194" t="s">
        <v>92</v>
      </c>
      <c r="AJ1" s="194" t="s">
        <v>103</v>
      </c>
      <c r="AK1" s="194" t="s">
        <v>341</v>
      </c>
      <c r="AL1" s="194" t="s">
        <v>355</v>
      </c>
      <c r="AM1" s="194" t="s">
        <v>515</v>
      </c>
    </row>
    <row r="2" spans="1:39" s="194" customFormat="1" x14ac:dyDescent="0.2">
      <c r="G2" s="194" t="s">
        <v>207</v>
      </c>
      <c r="L2" s="341" t="s">
        <v>554</v>
      </c>
      <c r="M2" s="342" t="s">
        <v>94</v>
      </c>
      <c r="N2" s="341" t="s">
        <v>93</v>
      </c>
      <c r="O2" s="341" t="s">
        <v>551</v>
      </c>
      <c r="P2" s="341" t="s">
        <v>92</v>
      </c>
      <c r="Q2" s="341" t="s">
        <v>103</v>
      </c>
      <c r="R2" s="341" t="s">
        <v>341</v>
      </c>
      <c r="S2" s="341" t="s">
        <v>355</v>
      </c>
      <c r="T2" s="597"/>
      <c r="U2" s="341" t="s">
        <v>517</v>
      </c>
    </row>
    <row r="3" spans="1:39" s="344" customFormat="1" ht="29.25" customHeight="1" x14ac:dyDescent="0.2">
      <c r="A3" s="196" t="s">
        <v>0</v>
      </c>
      <c r="B3" s="196" t="s">
        <v>1</v>
      </c>
      <c r="C3" s="196" t="s">
        <v>12</v>
      </c>
      <c r="D3" s="196" t="s">
        <v>206</v>
      </c>
      <c r="E3" s="196" t="s">
        <v>322</v>
      </c>
      <c r="F3" s="196" t="s">
        <v>336</v>
      </c>
      <c r="G3" s="196" t="s">
        <v>208</v>
      </c>
      <c r="H3" s="196" t="s">
        <v>209</v>
      </c>
      <c r="I3" s="196" t="s">
        <v>210</v>
      </c>
      <c r="J3" s="196" t="s">
        <v>211</v>
      </c>
      <c r="K3" s="524" t="s">
        <v>212</v>
      </c>
      <c r="L3" s="196" t="s">
        <v>275</v>
      </c>
      <c r="M3" s="343" t="s">
        <v>544</v>
      </c>
      <c r="N3" s="196" t="s">
        <v>274</v>
      </c>
      <c r="O3" s="196" t="s">
        <v>552</v>
      </c>
      <c r="P3" s="196" t="s">
        <v>310</v>
      </c>
      <c r="Q3" s="196" t="s">
        <v>347</v>
      </c>
      <c r="R3" s="196" t="s">
        <v>346</v>
      </c>
      <c r="S3" s="196" t="s">
        <v>353</v>
      </c>
      <c r="T3" s="196" t="s">
        <v>496</v>
      </c>
      <c r="U3" s="196" t="s">
        <v>518</v>
      </c>
      <c r="V3" s="196" t="s">
        <v>801</v>
      </c>
      <c r="W3" s="196" t="s">
        <v>953</v>
      </c>
      <c r="X3" s="196" t="s">
        <v>954</v>
      </c>
      <c r="Y3" s="196" t="s">
        <v>802</v>
      </c>
      <c r="Z3" s="196" t="s">
        <v>955</v>
      </c>
      <c r="AA3" s="196" t="s">
        <v>956</v>
      </c>
      <c r="AB3" s="196" t="s">
        <v>957</v>
      </c>
      <c r="AC3" s="196" t="s">
        <v>958</v>
      </c>
      <c r="AD3" s="196" t="s">
        <v>959</v>
      </c>
      <c r="AE3" s="196" t="s">
        <v>962</v>
      </c>
      <c r="AF3" s="196" t="s">
        <v>963</v>
      </c>
      <c r="AG3" s="196" t="s">
        <v>964</v>
      </c>
      <c r="AH3" s="196" t="s">
        <v>960</v>
      </c>
      <c r="AI3" s="196" t="s">
        <v>965</v>
      </c>
      <c r="AJ3" s="196" t="s">
        <v>966</v>
      </c>
      <c r="AK3" s="196" t="s">
        <v>967</v>
      </c>
      <c r="AL3" s="196" t="s">
        <v>968</v>
      </c>
      <c r="AM3" s="196" t="s">
        <v>961</v>
      </c>
    </row>
    <row r="4" spans="1:39" x14ac:dyDescent="0.2">
      <c r="A4" s="178">
        <f>TblRezone[[#This Row],[Hour]]</f>
        <v>1</v>
      </c>
      <c r="B4" s="200">
        <f ca="1">TblConstr[[#This Row],[Land]]</f>
        <v>250</v>
      </c>
      <c r="C4" s="113">
        <f ca="1">TblProd[[#This Row],[Mana]]</f>
        <v>0</v>
      </c>
      <c r="D4" s="517">
        <f>1-TblMagic[[#This Row],[Wiz str cost]]</f>
        <v>1</v>
      </c>
      <c r="E4" s="205">
        <f>Imps!L4</f>
        <v>44404.75</v>
      </c>
      <c r="F4" s="202">
        <f ca="1">TblImps[[#This Row],[Population]]</f>
        <v>0.67854113655640369</v>
      </c>
      <c r="G4" s="284"/>
      <c r="H4" s="284"/>
      <c r="I4" s="284"/>
      <c r="J4" s="284"/>
      <c r="K4" s="525"/>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 s="202">
        <f>SUMIF(TblMagic[[#This Row],[Gaia''s Watch]:[Useless spell]],1)*0.05</f>
        <v>0</v>
      </c>
      <c r="Y4" s="184"/>
      <c r="Z4" s="518">
        <f>TblMagic[[#This Row],[Gaia''s Watch]]*12</f>
        <v>0</v>
      </c>
      <c r="AA4" s="518">
        <f>TblMagic[[#This Row],[Mining Strength]]*12</f>
        <v>0</v>
      </c>
      <c r="AB4" s="518">
        <f>TblMagic[[#This Row],[Ares Call]]*12</f>
        <v>0</v>
      </c>
      <c r="AC4" s="518">
        <f>TblMagic[[#This Row],[Midas Touch]]*12</f>
        <v>0</v>
      </c>
      <c r="AD4" s="518">
        <f>TblMagic[[#This Row],[Harmony]]*12</f>
        <v>0</v>
      </c>
      <c r="AE4" s="518">
        <f>TblMagic[[#This Row],[Miner''s Sight]]*12</f>
        <v>0</v>
      </c>
      <c r="AF4" s="518">
        <f>TblMagic[[#This Row],[Mechanical Genius]]*12</f>
        <v>0</v>
      </c>
      <c r="AG4" s="518">
        <f>TblMagic[[#This Row],[Frenzy]]*12</f>
        <v>0</v>
      </c>
      <c r="AH4" s="518">
        <f>TblMagic[[#This Row],[Killing Rage / Bloodrage]]*12</f>
        <v>0</v>
      </c>
      <c r="AI4" s="518">
        <f>TblMagic[[#This Row],[Gaia''s Blessing]]*12</f>
        <v>0</v>
      </c>
      <c r="AJ4" s="518">
        <f>TblMagic[[#This Row],[Howling]]*12</f>
        <v>0</v>
      </c>
      <c r="AK4" s="518">
        <f>TblMagic[[#This Row],[Blizzard]]*12</f>
        <v>0</v>
      </c>
      <c r="AL4" s="518">
        <f>TblMagic[[#This Row],[Alchemists Flame]]*12</f>
        <v>0</v>
      </c>
      <c r="AM4" s="518">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44404.791666666664</v>
      </c>
      <c r="F5" s="202">
        <f ca="1">TblImps[[#This Row],[Population]]</f>
        <v>0.69508057675996604</v>
      </c>
      <c r="G5" s="284"/>
      <c r="H5" s="284"/>
      <c r="I5" s="284"/>
      <c r="J5" s="284"/>
      <c r="K5" s="525"/>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44404.833333333328</v>
      </c>
      <c r="F6" s="202">
        <f ca="1">TblImps[[#This Row],[Population]]</f>
        <v>0.71162001696352839</v>
      </c>
      <c r="G6" s="284"/>
      <c r="H6" s="284"/>
      <c r="I6" s="284"/>
      <c r="J6" s="284"/>
      <c r="K6" s="525"/>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44404.874999999993</v>
      </c>
      <c r="F7" s="202">
        <f ca="1">TblImps[[#This Row],[Population]]</f>
        <v>0.72858354537743852</v>
      </c>
      <c r="G7" s="284"/>
      <c r="H7" s="284"/>
      <c r="I7" s="284"/>
      <c r="J7" s="284"/>
      <c r="K7" s="525"/>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44404.916666666657</v>
      </c>
      <c r="F8" s="202">
        <f ca="1">TblImps[[#This Row],[Population]]</f>
        <v>0.74597116200169633</v>
      </c>
      <c r="G8" s="284"/>
      <c r="H8" s="284"/>
      <c r="I8" s="284"/>
      <c r="J8" s="284"/>
      <c r="K8" s="525"/>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44404.958333333321</v>
      </c>
      <c r="F9" s="202">
        <f ca="1">TblImps[[#This Row],[Population]]</f>
        <v>0.76378286683630192</v>
      </c>
      <c r="G9" s="284"/>
      <c r="H9" s="284"/>
      <c r="I9" s="284"/>
      <c r="J9" s="284"/>
      <c r="K9" s="525"/>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44404.999999999985</v>
      </c>
      <c r="F10" s="202">
        <f ca="1">TblImps[[#This Row],[Population]]</f>
        <v>0.7820186598812553</v>
      </c>
      <c r="G10" s="284"/>
      <c r="H10" s="284"/>
      <c r="I10" s="284"/>
      <c r="J10" s="284"/>
      <c r="K10" s="525"/>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44405.04166666665</v>
      </c>
      <c r="F11" s="202">
        <f ca="1">TblImps[[#This Row],[Population]]</f>
        <v>0.80025445292620867</v>
      </c>
      <c r="G11" s="284"/>
      <c r="H11" s="284"/>
      <c r="I11" s="284"/>
      <c r="J11" s="284"/>
      <c r="K11" s="525"/>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44405.083333333314</v>
      </c>
      <c r="F12" s="202">
        <f ca="1">TblImps[[#This Row],[Population]]</f>
        <v>0.81891433418150972</v>
      </c>
      <c r="G12" s="284"/>
      <c r="H12" s="284"/>
      <c r="I12" s="284"/>
      <c r="J12" s="284"/>
      <c r="K12" s="525"/>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44405.124999999978</v>
      </c>
      <c r="F13" s="202">
        <f ca="1">TblImps[[#This Row],[Population]]</f>
        <v>0.83799830364715866</v>
      </c>
      <c r="G13" s="284"/>
      <c r="H13" s="284"/>
      <c r="I13" s="284"/>
      <c r="J13" s="284"/>
      <c r="K13" s="525"/>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44405.166666666642</v>
      </c>
      <c r="F14" s="202">
        <f ca="1">TblImps[[#This Row],[Population]]</f>
        <v>0.85750636132315516</v>
      </c>
      <c r="G14" s="284"/>
      <c r="H14" s="284"/>
      <c r="I14" s="284"/>
      <c r="J14" s="284"/>
      <c r="K14" s="525"/>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44405.208333333307</v>
      </c>
      <c r="F15" s="202">
        <f ca="1">TblImps[[#This Row],[Population]]</f>
        <v>0.87743850720949956</v>
      </c>
      <c r="G15" s="284"/>
      <c r="H15" s="284"/>
      <c r="I15" s="284"/>
      <c r="J15" s="284"/>
      <c r="K15" s="525"/>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44405.249999999971</v>
      </c>
      <c r="F16" s="202">
        <f ca="1">TblImps[[#This Row],[Population]]</f>
        <v>0.89779474130619163</v>
      </c>
      <c r="G16" s="284"/>
      <c r="H16" s="284"/>
      <c r="I16" s="284"/>
      <c r="J16" s="284"/>
      <c r="K16" s="525"/>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44405.291666666635</v>
      </c>
      <c r="F17" s="202">
        <f ca="1">TblImps[[#This Row],[Population]]</f>
        <v>0.9185750636132316</v>
      </c>
      <c r="G17" s="284"/>
      <c r="H17" s="284"/>
      <c r="I17" s="284"/>
      <c r="J17" s="284"/>
      <c r="K17" s="525"/>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7" s="202">
        <f>SUMIF(TblMagic[[#This Row],[Gaia''s Watch]:[Useless spell]],1)*0.05</f>
        <v>0</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0</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44405.333333333299</v>
      </c>
      <c r="F18" s="202">
        <f ca="1">TblImps[[#This Row],[Population]]</f>
        <v>0.93977947413061913</v>
      </c>
      <c r="G18" s="284"/>
      <c r="H18" s="284"/>
      <c r="I18" s="284"/>
      <c r="J18" s="284"/>
      <c r="K18" s="525"/>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0</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44405.374999999964</v>
      </c>
      <c r="F19" s="202">
        <f ca="1">TblImps[[#This Row],[Population]]</f>
        <v>0.96140797285835455</v>
      </c>
      <c r="G19" s="284"/>
      <c r="H19" s="284"/>
      <c r="I19" s="284"/>
      <c r="J19" s="284"/>
      <c r="K19" s="525"/>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9" s="202">
        <f>SUMIF(TblMagic[[#This Row],[Gaia''s Watch]:[Useless spell]],1)*0.05</f>
        <v>0</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0</v>
      </c>
      <c r="AD19" s="141">
        <f ca="1">IF(TblMagic[[#This Row],[Harmony]],12,IF(OFFSET(TblMagic[[#This Row],[Active Harmony]],-1,0)&gt;0,OFFSET(TblMagic[[#This Row],[Active Harmony]],-1,0)-1,0))</f>
        <v>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44405.416666666628</v>
      </c>
      <c r="F20" s="202">
        <f ca="1">TblImps[[#This Row],[Population]]</f>
        <v>0.98346055979643765</v>
      </c>
      <c r="G20" s="284"/>
      <c r="H20" s="284"/>
      <c r="I20" s="284"/>
      <c r="J20" s="284"/>
      <c r="K20" s="525"/>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0</v>
      </c>
      <c r="AD20" s="141">
        <f ca="1">IF(TblMagic[[#This Row],[Harmony]],12,IF(OFFSET(TblMagic[[#This Row],[Active Harmony]],-1,0)&gt;0,OFFSET(TblMagic[[#This Row],[Active Harmony]],-1,0)-1,0))</f>
        <v>0</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44405.458333333292</v>
      </c>
      <c r="F21" s="202">
        <f ca="1">TblImps[[#This Row],[Population]]</f>
        <v>1</v>
      </c>
      <c r="G21" s="284"/>
      <c r="H21" s="284"/>
      <c r="I21" s="284"/>
      <c r="J21" s="284"/>
      <c r="K21" s="525"/>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0</v>
      </c>
      <c r="AD21" s="141">
        <f ca="1">IF(TblMagic[[#This Row],[Harmony]],12,IF(OFFSET(TblMagic[[#This Row],[Active Harmony]],-1,0)&gt;0,OFFSET(TblMagic[[#This Row],[Active Harmony]],-1,0)-1,0))</f>
        <v>0</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44405.499999999956</v>
      </c>
      <c r="F22" s="202">
        <f ca="1">TblImps[[#This Row],[Population]]</f>
        <v>1</v>
      </c>
      <c r="G22" s="284"/>
      <c r="H22" s="284"/>
      <c r="I22" s="284"/>
      <c r="J22" s="284"/>
      <c r="K22" s="525"/>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0</v>
      </c>
      <c r="AD22" s="141">
        <f ca="1">IF(TblMagic[[#This Row],[Harmony]],12,IF(OFFSET(TblMagic[[#This Row],[Active Harmony]],-1,0)&gt;0,OFFSET(TblMagic[[#This Row],[Active Harmony]],-1,0)-1,0))</f>
        <v>0</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44405.541666666621</v>
      </c>
      <c r="F23" s="202">
        <f ca="1">TblImps[[#This Row],[Population]]</f>
        <v>1</v>
      </c>
      <c r="G23" s="284"/>
      <c r="H23" s="284"/>
      <c r="I23" s="284"/>
      <c r="J23" s="284"/>
      <c r="K23" s="525"/>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0</v>
      </c>
      <c r="AD23" s="141">
        <f ca="1">IF(TblMagic[[#This Row],[Harmony]],12,IF(OFFSET(TblMagic[[#This Row],[Active Harmony]],-1,0)&gt;0,OFFSET(TblMagic[[#This Row],[Active Harmony]],-1,0)-1,0))</f>
        <v>0</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44405.583333333285</v>
      </c>
      <c r="F24" s="202">
        <f ca="1">TblImps[[#This Row],[Population]]</f>
        <v>1</v>
      </c>
      <c r="G24" s="284"/>
      <c r="H24" s="284"/>
      <c r="I24" s="284"/>
      <c r="J24" s="284"/>
      <c r="K24" s="525"/>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0</v>
      </c>
      <c r="AD24" s="141">
        <f ca="1">IF(TblMagic[[#This Row],[Harmony]],12,IF(OFFSET(TblMagic[[#This Row],[Active Harmony]],-1,0)&gt;0,OFFSET(TblMagic[[#This Row],[Active Harmony]],-1,0)-1,0))</f>
        <v>0</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44405.624999999949</v>
      </c>
      <c r="F25" s="202">
        <f ca="1">TblImps[[#This Row],[Population]]</f>
        <v>1</v>
      </c>
      <c r="G25" s="284"/>
      <c r="H25" s="284"/>
      <c r="I25" s="284"/>
      <c r="J25" s="284"/>
      <c r="K25" s="525"/>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0</v>
      </c>
      <c r="AD25" s="141">
        <f ca="1">IF(TblMagic[[#This Row],[Harmony]],12,IF(OFFSET(TblMagic[[#This Row],[Active Harmony]],-1,0)&gt;0,OFFSET(TblMagic[[#This Row],[Active Harmony]],-1,0)-1,0))</f>
        <v>0</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44405.666666666613</v>
      </c>
      <c r="F26" s="202">
        <f ca="1">TblImps[[#This Row],[Population]]</f>
        <v>1</v>
      </c>
      <c r="G26" s="284"/>
      <c r="H26" s="284"/>
      <c r="I26" s="284"/>
      <c r="J26" s="284"/>
      <c r="K26" s="525"/>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0</v>
      </c>
      <c r="AD26" s="141">
        <f ca="1">IF(TblMagic[[#This Row],[Harmony]],12,IF(OFFSET(TblMagic[[#This Row],[Active Harmony]],-1,0)&gt;0,OFFSET(TblMagic[[#This Row],[Active Harmony]],-1,0)-1,0))</f>
        <v>0</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44405.708333333278</v>
      </c>
      <c r="F27" s="202">
        <f ca="1">TblImps[[#This Row],[Population]]</f>
        <v>1</v>
      </c>
      <c r="G27" s="284"/>
      <c r="H27" s="284"/>
      <c r="I27" s="284"/>
      <c r="J27" s="284"/>
      <c r="K27" s="525"/>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0</v>
      </c>
      <c r="AD27" s="141">
        <f ca="1">IF(TblMagic[[#This Row],[Harmony]],12,IF(OFFSET(TblMagic[[#This Row],[Active Harmony]],-1,0)&gt;0,OFFSET(TblMagic[[#This Row],[Active Harmony]],-1,0)-1,0))</f>
        <v>0</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44405.749999999942</v>
      </c>
      <c r="F28" s="202">
        <f ca="1">TblImps[[#This Row],[Population]]</f>
        <v>1</v>
      </c>
      <c r="G28" s="284"/>
      <c r="H28" s="284"/>
      <c r="I28" s="284"/>
      <c r="J28" s="284"/>
      <c r="K28" s="525"/>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0</v>
      </c>
      <c r="AD28" s="141">
        <f ca="1">IF(TblMagic[[#This Row],[Harmony]],12,IF(OFFSET(TblMagic[[#This Row],[Active Harmony]],-1,0)&gt;0,OFFSET(TblMagic[[#This Row],[Active Harmony]],-1,0)-1,0))</f>
        <v>0</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44405.791666666606</v>
      </c>
      <c r="F29" s="202">
        <f ca="1">TblImps[[#This Row],[Population]]</f>
        <v>1</v>
      </c>
      <c r="G29" s="284"/>
      <c r="H29" s="284"/>
      <c r="I29" s="284"/>
      <c r="J29" s="284"/>
      <c r="K29" s="525"/>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9" s="202">
        <f>SUMIF(TblMagic[[#This Row],[Gaia''s Watch]:[Useless spell]],1)*0.05</f>
        <v>0</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0</v>
      </c>
      <c r="AD29" s="141">
        <f ca="1">IF(TblMagic[[#This Row],[Harmony]],12,IF(OFFSET(TblMagic[[#This Row],[Active Harmony]],-1,0)&gt;0,OFFSET(TblMagic[[#This Row],[Active Harmony]],-1,0)-1,0))</f>
        <v>0</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44405.83333333327</v>
      </c>
      <c r="F30" s="202">
        <f ca="1">TblImps[[#This Row],[Population]]</f>
        <v>1</v>
      </c>
      <c r="G30" s="284"/>
      <c r="H30" s="284"/>
      <c r="I30" s="284"/>
      <c r="J30" s="284"/>
      <c r="K30" s="525"/>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0</v>
      </c>
      <c r="AD30" s="141">
        <f ca="1">IF(TblMagic[[#This Row],[Harmony]],12,IF(OFFSET(TblMagic[[#This Row],[Active Harmony]],-1,0)&gt;0,OFFSET(TblMagic[[#This Row],[Active Harmony]],-1,0)-1,0))</f>
        <v>0</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44405.874999999935</v>
      </c>
      <c r="F31" s="202">
        <f ca="1">TblImps[[#This Row],[Population]]</f>
        <v>1</v>
      </c>
      <c r="G31" s="284"/>
      <c r="H31" s="284"/>
      <c r="I31" s="284"/>
      <c r="J31" s="284"/>
      <c r="K31" s="525"/>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1" s="202">
        <f>SUMIF(TblMagic[[#This Row],[Gaia''s Watch]:[Useless spell]],1)*0.05</f>
        <v>0</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0</v>
      </c>
      <c r="AD31" s="141">
        <f ca="1">IF(TblMagic[[#This Row],[Harmony]],12,IF(OFFSET(TblMagic[[#This Row],[Active Harmony]],-1,0)&gt;0,OFFSET(TblMagic[[#This Row],[Active Harmony]],-1,0)-1,0))</f>
        <v>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44405.916666666599</v>
      </c>
      <c r="F32" s="202">
        <f ca="1">TblImps[[#This Row],[Population]]</f>
        <v>1</v>
      </c>
      <c r="G32" s="284"/>
      <c r="H32" s="284"/>
      <c r="I32" s="284"/>
      <c r="J32" s="284"/>
      <c r="K32" s="525"/>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0</v>
      </c>
      <c r="AD32" s="141">
        <f ca="1">IF(TblMagic[[#This Row],[Harmony]],12,IF(OFFSET(TblMagic[[#This Row],[Active Harmony]],-1,0)&gt;0,OFFSET(TblMagic[[#This Row],[Active Harmony]],-1,0)-1,0))</f>
        <v>0</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44405.958333333263</v>
      </c>
      <c r="F33" s="202">
        <f ca="1">TblImps[[#This Row],[Population]]</f>
        <v>1</v>
      </c>
      <c r="G33" s="284"/>
      <c r="H33" s="284"/>
      <c r="I33" s="284"/>
      <c r="J33" s="284"/>
      <c r="K33" s="525"/>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0</v>
      </c>
      <c r="AD33" s="141">
        <f ca="1">IF(TblMagic[[#This Row],[Harmony]],12,IF(OFFSET(TblMagic[[#This Row],[Active Harmony]],-1,0)&gt;0,OFFSET(TblMagic[[#This Row],[Active Harmony]],-1,0)-1,0))</f>
        <v>0</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44405.999999999927</v>
      </c>
      <c r="F34" s="202">
        <f ca="1">TblImps[[#This Row],[Population]]</f>
        <v>1</v>
      </c>
      <c r="G34" s="284"/>
      <c r="H34" s="284"/>
      <c r="I34" s="284"/>
      <c r="J34" s="284"/>
      <c r="K34" s="525"/>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0</v>
      </c>
      <c r="AD34" s="141">
        <f ca="1">IF(TblMagic[[#This Row],[Harmony]],12,IF(OFFSET(TblMagic[[#This Row],[Active Harmony]],-1,0)&gt;0,OFFSET(TblMagic[[#This Row],[Active Harmony]],-1,0)-1,0))</f>
        <v>0</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44406.041666666591</v>
      </c>
      <c r="F35" s="202">
        <f ca="1">TblImps[[#This Row],[Population]]</f>
        <v>1</v>
      </c>
      <c r="G35" s="284"/>
      <c r="H35" s="284"/>
      <c r="I35" s="284"/>
      <c r="J35" s="284"/>
      <c r="K35" s="525"/>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0</v>
      </c>
      <c r="AD35" s="141">
        <f ca="1">IF(TblMagic[[#This Row],[Harmony]],12,IF(OFFSET(TblMagic[[#This Row],[Active Harmony]],-1,0)&gt;0,OFFSET(TblMagic[[#This Row],[Active Harmony]],-1,0)-1,0))</f>
        <v>0</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44406.083333333256</v>
      </c>
      <c r="F36" s="202">
        <f ca="1">TblImps[[#This Row],[Population]]</f>
        <v>1</v>
      </c>
      <c r="G36" s="284"/>
      <c r="H36" s="284"/>
      <c r="I36" s="284"/>
      <c r="J36" s="284"/>
      <c r="K36" s="525"/>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0</v>
      </c>
      <c r="AD36" s="141">
        <f ca="1">IF(TblMagic[[#This Row],[Harmony]],12,IF(OFFSET(TblMagic[[#This Row],[Active Harmony]],-1,0)&gt;0,OFFSET(TblMagic[[#This Row],[Active Harmony]],-1,0)-1,0))</f>
        <v>0</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44406.12499999992</v>
      </c>
      <c r="F37" s="202">
        <f ca="1">TblImps[[#This Row],[Population]]</f>
        <v>1</v>
      </c>
      <c r="G37" s="284"/>
      <c r="H37" s="284"/>
      <c r="I37" s="284"/>
      <c r="J37" s="284"/>
      <c r="K37" s="525"/>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0</v>
      </c>
      <c r="AD37" s="141">
        <f ca="1">IF(TblMagic[[#This Row],[Harmony]],12,IF(OFFSET(TblMagic[[#This Row],[Active Harmony]],-1,0)&gt;0,OFFSET(TblMagic[[#This Row],[Active Harmony]],-1,0)-1,0))</f>
        <v>0</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44406.166666666584</v>
      </c>
      <c r="F38" s="202">
        <f ca="1">TblImps[[#This Row],[Population]]</f>
        <v>1</v>
      </c>
      <c r="G38" s="284"/>
      <c r="H38" s="284"/>
      <c r="I38" s="284"/>
      <c r="J38" s="284"/>
      <c r="K38" s="525"/>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0</v>
      </c>
      <c r="AD38" s="141">
        <f ca="1">IF(TblMagic[[#This Row],[Harmony]],12,IF(OFFSET(TblMagic[[#This Row],[Active Harmony]],-1,0)&gt;0,OFFSET(TblMagic[[#This Row],[Active Harmony]],-1,0)-1,0))</f>
        <v>0</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44406.208333333248</v>
      </c>
      <c r="F39" s="202">
        <f ca="1">TblImps[[#This Row],[Population]]</f>
        <v>1</v>
      </c>
      <c r="G39" s="284"/>
      <c r="H39" s="284"/>
      <c r="I39" s="284"/>
      <c r="J39" s="284"/>
      <c r="K39" s="525"/>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0</v>
      </c>
      <c r="AD39" s="141">
        <f ca="1">IF(TblMagic[[#This Row],[Harmony]],12,IF(OFFSET(TblMagic[[#This Row],[Active Harmony]],-1,0)&gt;0,OFFSET(TblMagic[[#This Row],[Active Harmony]],-1,0)-1,0))</f>
        <v>0</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44406.249999999913</v>
      </c>
      <c r="F40" s="202">
        <f ca="1">TblImps[[#This Row],[Population]]</f>
        <v>1</v>
      </c>
      <c r="G40" s="284"/>
      <c r="H40" s="284"/>
      <c r="I40" s="284"/>
      <c r="J40" s="284"/>
      <c r="K40" s="525"/>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0</v>
      </c>
      <c r="AD40" s="141">
        <f ca="1">IF(TblMagic[[#This Row],[Harmony]],12,IF(OFFSET(TblMagic[[#This Row],[Active Harmony]],-1,0)&gt;0,OFFSET(TblMagic[[#This Row],[Active Harmony]],-1,0)-1,0))</f>
        <v>0</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44406.291666666577</v>
      </c>
      <c r="F41" s="202">
        <f ca="1">TblImps[[#This Row],[Population]]</f>
        <v>1</v>
      </c>
      <c r="G41" s="284"/>
      <c r="H41" s="284"/>
      <c r="I41" s="284"/>
      <c r="J41" s="284"/>
      <c r="K41" s="525"/>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1" s="202">
        <f>SUMIF(TblMagic[[#This Row],[Gaia''s Watch]:[Useless spell]],1)*0.05</f>
        <v>0</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0</v>
      </c>
      <c r="AD41" s="141">
        <f ca="1">IF(TblMagic[[#This Row],[Harmony]],12,IF(OFFSET(TblMagic[[#This Row],[Active Harmony]],-1,0)&gt;0,OFFSET(TblMagic[[#This Row],[Active Harmony]],-1,0)-1,0))</f>
        <v>0</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44406.333333333241</v>
      </c>
      <c r="F42" s="202">
        <f ca="1">TblImps[[#This Row],[Population]]</f>
        <v>1</v>
      </c>
      <c r="G42" s="284"/>
      <c r="H42" s="284"/>
      <c r="I42" s="284"/>
      <c r="J42" s="284"/>
      <c r="K42" s="525"/>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0</v>
      </c>
      <c r="AD42" s="141">
        <f ca="1">IF(TblMagic[[#This Row],[Harmony]],12,IF(OFFSET(TblMagic[[#This Row],[Active Harmony]],-1,0)&gt;0,OFFSET(TblMagic[[#This Row],[Active Harmony]],-1,0)-1,0))</f>
        <v>0</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44406.374999999905</v>
      </c>
      <c r="F43" s="202">
        <f ca="1">TblImps[[#This Row],[Population]]</f>
        <v>1</v>
      </c>
      <c r="G43" s="284"/>
      <c r="H43" s="284"/>
      <c r="I43" s="284"/>
      <c r="J43" s="284"/>
      <c r="K43" s="525"/>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3" s="202">
        <f>SUMIF(TblMagic[[#This Row],[Gaia''s Watch]:[Useless spell]],1)*0.05</f>
        <v>0</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0</v>
      </c>
      <c r="AD43" s="141">
        <f ca="1">IF(TblMagic[[#This Row],[Harmony]],12,IF(OFFSET(TblMagic[[#This Row],[Active Harmony]],-1,0)&gt;0,OFFSET(TblMagic[[#This Row],[Active Harmony]],-1,0)-1,0))</f>
        <v>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44406.41666666657</v>
      </c>
      <c r="F44" s="202">
        <f ca="1">TblImps[[#This Row],[Population]]</f>
        <v>1</v>
      </c>
      <c r="G44" s="284"/>
      <c r="H44" s="284"/>
      <c r="I44" s="284"/>
      <c r="J44" s="284"/>
      <c r="K44" s="525"/>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0</v>
      </c>
      <c r="AD44" s="141">
        <f ca="1">IF(TblMagic[[#This Row],[Harmony]],12,IF(OFFSET(TblMagic[[#This Row],[Active Harmony]],-1,0)&gt;0,OFFSET(TblMagic[[#This Row],[Active Harmony]],-1,0)-1,0))</f>
        <v>0</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44406.458333333234</v>
      </c>
      <c r="F45" s="202">
        <f ca="1">TblImps[[#This Row],[Population]]</f>
        <v>1</v>
      </c>
      <c r="G45" s="284"/>
      <c r="H45" s="284"/>
      <c r="I45" s="284"/>
      <c r="J45" s="284"/>
      <c r="K45" s="525"/>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0</v>
      </c>
      <c r="AD45" s="141">
        <f ca="1">IF(TblMagic[[#This Row],[Harmony]],12,IF(OFFSET(TblMagic[[#This Row],[Active Harmony]],-1,0)&gt;0,OFFSET(TblMagic[[#This Row],[Active Harmony]],-1,0)-1,0))</f>
        <v>0</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44406.499999999898</v>
      </c>
      <c r="F46" s="202">
        <f ca="1">TblImps[[#This Row],[Population]]</f>
        <v>1</v>
      </c>
      <c r="G46" s="284"/>
      <c r="H46" s="284"/>
      <c r="I46" s="284"/>
      <c r="J46" s="284"/>
      <c r="K46" s="525"/>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0</v>
      </c>
      <c r="AD46" s="141">
        <f ca="1">IF(TblMagic[[#This Row],[Harmony]],12,IF(OFFSET(TblMagic[[#This Row],[Active Harmony]],-1,0)&gt;0,OFFSET(TblMagic[[#This Row],[Active Harmony]],-1,0)-1,0))</f>
        <v>0</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44406.541666666562</v>
      </c>
      <c r="F47" s="202">
        <f ca="1">TblImps[[#This Row],[Population]]</f>
        <v>1</v>
      </c>
      <c r="G47" s="284"/>
      <c r="H47" s="284"/>
      <c r="I47" s="284"/>
      <c r="J47" s="284"/>
      <c r="K47" s="525"/>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0</v>
      </c>
      <c r="AD47" s="141">
        <f ca="1">IF(TblMagic[[#This Row],[Harmony]],12,IF(OFFSET(TblMagic[[#This Row],[Active Harmony]],-1,0)&gt;0,OFFSET(TblMagic[[#This Row],[Active Harmony]],-1,0)-1,0))</f>
        <v>0</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44406.583333333227</v>
      </c>
      <c r="F48" s="202">
        <f ca="1">TblImps[[#This Row],[Population]]</f>
        <v>1</v>
      </c>
      <c r="G48" s="284"/>
      <c r="H48" s="284"/>
      <c r="I48" s="284"/>
      <c r="J48" s="284"/>
      <c r="K48" s="525"/>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0</v>
      </c>
      <c r="AD48" s="141">
        <f ca="1">IF(TblMagic[[#This Row],[Harmony]],12,IF(OFFSET(TblMagic[[#This Row],[Active Harmony]],-1,0)&gt;0,OFFSET(TblMagic[[#This Row],[Active Harmony]],-1,0)-1,0))</f>
        <v>0</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44406.624999999891</v>
      </c>
      <c r="F49" s="202">
        <f ca="1">TblImps[[#This Row],[Population]]</f>
        <v>1</v>
      </c>
      <c r="G49" s="284"/>
      <c r="H49" s="284"/>
      <c r="I49" s="284"/>
      <c r="J49" s="284"/>
      <c r="K49" s="525"/>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0</v>
      </c>
      <c r="AD49" s="141">
        <f ca="1">IF(TblMagic[[#This Row],[Harmony]],12,IF(OFFSET(TblMagic[[#This Row],[Active Harmony]],-1,0)&gt;0,OFFSET(TblMagic[[#This Row],[Active Harmony]],-1,0)-1,0))</f>
        <v>0</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44406.666666666555</v>
      </c>
      <c r="F50" s="202">
        <f ca="1">TblImps[[#This Row],[Population]]</f>
        <v>1</v>
      </c>
      <c r="G50" s="284"/>
      <c r="H50" s="284"/>
      <c r="I50" s="284"/>
      <c r="J50" s="284"/>
      <c r="K50" s="525"/>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0</v>
      </c>
      <c r="AD50" s="141">
        <f ca="1">IF(TblMagic[[#This Row],[Harmony]],12,IF(OFFSET(TblMagic[[#This Row],[Active Harmony]],-1,0)&gt;0,OFFSET(TblMagic[[#This Row],[Active Harmony]],-1,0)-1,0))</f>
        <v>0</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44406.708333333219</v>
      </c>
      <c r="F51" s="202">
        <f ca="1">TblImps[[#This Row],[Population]]</f>
        <v>1</v>
      </c>
      <c r="G51" s="284"/>
      <c r="H51" s="284"/>
      <c r="I51" s="284"/>
      <c r="J51" s="284"/>
      <c r="K51" s="525"/>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0</v>
      </c>
      <c r="AD51" s="141">
        <f ca="1">IF(TblMagic[[#This Row],[Harmony]],12,IF(OFFSET(TblMagic[[#This Row],[Active Harmony]],-1,0)&gt;0,OFFSET(TblMagic[[#This Row],[Active Harmony]],-1,0)-1,0))</f>
        <v>0</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44406.749999999884</v>
      </c>
      <c r="F52" s="202">
        <f ca="1">TblImps[[#This Row],[Population]]</f>
        <v>1</v>
      </c>
      <c r="G52" s="284"/>
      <c r="H52" s="284"/>
      <c r="I52" s="284"/>
      <c r="J52" s="284"/>
      <c r="K52" s="525"/>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0</v>
      </c>
      <c r="AD52" s="141">
        <f ca="1">IF(TblMagic[[#This Row],[Harmony]],12,IF(OFFSET(TblMagic[[#This Row],[Active Harmony]],-1,0)&gt;0,OFFSET(TblMagic[[#This Row],[Active Harmony]],-1,0)-1,0))</f>
        <v>0</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44406.791666666548</v>
      </c>
      <c r="F53" s="202">
        <f ca="1">TblImps[[#This Row],[Population]]</f>
        <v>1</v>
      </c>
      <c r="G53" s="284"/>
      <c r="H53" s="284"/>
      <c r="I53" s="284"/>
      <c r="J53" s="284"/>
      <c r="K53" s="525"/>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3" s="202">
        <f>SUMIF(TblMagic[[#This Row],[Gaia''s Watch]:[Useless spell]],1)*0.05</f>
        <v>0</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0</v>
      </c>
      <c r="AD53" s="141">
        <f ca="1">IF(TblMagic[[#This Row],[Harmony]],12,IF(OFFSET(TblMagic[[#This Row],[Active Harmony]],-1,0)&gt;0,OFFSET(TblMagic[[#This Row],[Active Harmony]],-1,0)-1,0))</f>
        <v>0</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44406.833333333212</v>
      </c>
      <c r="F54" s="202">
        <f ca="1">TblImps[[#This Row],[Population]]</f>
        <v>1</v>
      </c>
      <c r="G54" s="284"/>
      <c r="H54" s="284"/>
      <c r="I54" s="284"/>
      <c r="J54" s="284"/>
      <c r="K54" s="525"/>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0</v>
      </c>
      <c r="AD54" s="141">
        <f ca="1">IF(TblMagic[[#This Row],[Harmony]],12,IF(OFFSET(TblMagic[[#This Row],[Active Harmony]],-1,0)&gt;0,OFFSET(TblMagic[[#This Row],[Active Harmony]],-1,0)-1,0))</f>
        <v>0</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44406.874999999876</v>
      </c>
      <c r="F55" s="202">
        <f ca="1">TblImps[[#This Row],[Population]]</f>
        <v>1</v>
      </c>
      <c r="G55" s="284"/>
      <c r="H55" s="284"/>
      <c r="I55" s="284"/>
      <c r="J55" s="284"/>
      <c r="K55" s="525"/>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5" s="202">
        <f>SUMIF(TblMagic[[#This Row],[Gaia''s Watch]:[Useless spell]],1)*0.05</f>
        <v>0</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0</v>
      </c>
      <c r="AD55" s="141">
        <f ca="1">IF(TblMagic[[#This Row],[Harmony]],12,IF(OFFSET(TblMagic[[#This Row],[Active Harmony]],-1,0)&gt;0,OFFSET(TblMagic[[#This Row],[Active Harmony]],-1,0)-1,0))</f>
        <v>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44406.916666666541</v>
      </c>
      <c r="F56" s="202">
        <f ca="1">TblImps[[#This Row],[Population]]</f>
        <v>1</v>
      </c>
      <c r="G56" s="284"/>
      <c r="H56" s="284"/>
      <c r="I56" s="284"/>
      <c r="J56" s="284"/>
      <c r="K56" s="525"/>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0</v>
      </c>
      <c r="AD56" s="141">
        <f ca="1">IF(TblMagic[[#This Row],[Harmony]],12,IF(OFFSET(TblMagic[[#This Row],[Active Harmony]],-1,0)&gt;0,OFFSET(TblMagic[[#This Row],[Active Harmony]],-1,0)-1,0))</f>
        <v>0</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44406.958333333205</v>
      </c>
      <c r="F57" s="202">
        <f ca="1">TblImps[[#This Row],[Population]]</f>
        <v>1</v>
      </c>
      <c r="G57" s="284"/>
      <c r="H57" s="284"/>
      <c r="I57" s="284"/>
      <c r="J57" s="284"/>
      <c r="K57" s="525"/>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0</v>
      </c>
      <c r="AD57" s="141">
        <f ca="1">IF(TblMagic[[#This Row],[Harmony]],12,IF(OFFSET(TblMagic[[#This Row],[Active Harmony]],-1,0)&gt;0,OFFSET(TblMagic[[#This Row],[Active Harmony]],-1,0)-1,0))</f>
        <v>0</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44406.999999999869</v>
      </c>
      <c r="F58" s="202">
        <f ca="1">TblImps[[#This Row],[Population]]</f>
        <v>1</v>
      </c>
      <c r="G58" s="284"/>
      <c r="H58" s="284"/>
      <c r="I58" s="284"/>
      <c r="J58" s="284"/>
      <c r="K58" s="525"/>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0</v>
      </c>
      <c r="AD58" s="141">
        <f ca="1">IF(TblMagic[[#This Row],[Harmony]],12,IF(OFFSET(TblMagic[[#This Row],[Active Harmony]],-1,0)&gt;0,OFFSET(TblMagic[[#This Row],[Active Harmony]],-1,0)-1,0))</f>
        <v>0</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44407.041666666533</v>
      </c>
      <c r="F59" s="202">
        <f ca="1">TblImps[[#This Row],[Population]]</f>
        <v>1</v>
      </c>
      <c r="G59" s="284"/>
      <c r="H59" s="284"/>
      <c r="I59" s="284"/>
      <c r="J59" s="284"/>
      <c r="K59" s="525"/>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0</v>
      </c>
      <c r="AD59" s="141">
        <f ca="1">IF(TblMagic[[#This Row],[Harmony]],12,IF(OFFSET(TblMagic[[#This Row],[Active Harmony]],-1,0)&gt;0,OFFSET(TblMagic[[#This Row],[Active Harmony]],-1,0)-1,0))</f>
        <v>0</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44407.083333333198</v>
      </c>
      <c r="F60" s="202">
        <f ca="1">TblImps[[#This Row],[Population]]</f>
        <v>1</v>
      </c>
      <c r="G60" s="284"/>
      <c r="H60" s="284"/>
      <c r="I60" s="284"/>
      <c r="J60" s="284"/>
      <c r="K60" s="525"/>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0</v>
      </c>
      <c r="AD60" s="141">
        <f ca="1">IF(TblMagic[[#This Row],[Harmony]],12,IF(OFFSET(TblMagic[[#This Row],[Active Harmony]],-1,0)&gt;0,OFFSET(TblMagic[[#This Row],[Active Harmony]],-1,0)-1,0))</f>
        <v>0</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44407.124999999862</v>
      </c>
      <c r="F61" s="202">
        <f ca="1">TblImps[[#This Row],[Population]]</f>
        <v>1</v>
      </c>
      <c r="G61" s="284"/>
      <c r="H61" s="284"/>
      <c r="I61" s="284"/>
      <c r="J61" s="284"/>
      <c r="K61" s="525"/>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0</v>
      </c>
      <c r="AD61" s="141">
        <f ca="1">IF(TblMagic[[#This Row],[Harmony]],12,IF(OFFSET(TblMagic[[#This Row],[Active Harmony]],-1,0)&gt;0,OFFSET(TblMagic[[#This Row],[Active Harmony]],-1,0)-1,0))</f>
        <v>0</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44407.166666666526</v>
      </c>
      <c r="F62" s="202">
        <f ca="1">TblImps[[#This Row],[Population]]</f>
        <v>1</v>
      </c>
      <c r="G62" s="284"/>
      <c r="H62" s="284"/>
      <c r="I62" s="284"/>
      <c r="J62" s="284"/>
      <c r="K62" s="525"/>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0</v>
      </c>
      <c r="AD62" s="141">
        <f ca="1">IF(TblMagic[[#This Row],[Harmony]],12,IF(OFFSET(TblMagic[[#This Row],[Active Harmony]],-1,0)&gt;0,OFFSET(TblMagic[[#This Row],[Active Harmony]],-1,0)-1,0))</f>
        <v>0</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44407.20833333319</v>
      </c>
      <c r="F63" s="202">
        <f ca="1">TblImps[[#This Row],[Population]]</f>
        <v>1</v>
      </c>
      <c r="G63" s="284"/>
      <c r="H63" s="284"/>
      <c r="I63" s="284"/>
      <c r="J63" s="284"/>
      <c r="K63" s="525"/>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0</v>
      </c>
      <c r="AD63" s="141">
        <f ca="1">IF(TblMagic[[#This Row],[Harmony]],12,IF(OFFSET(TblMagic[[#This Row],[Active Harmony]],-1,0)&gt;0,OFFSET(TblMagic[[#This Row],[Active Harmony]],-1,0)-1,0))</f>
        <v>0</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44407.249999999854</v>
      </c>
      <c r="F64" s="202">
        <f ca="1">TblImps[[#This Row],[Population]]</f>
        <v>1</v>
      </c>
      <c r="G64" s="284"/>
      <c r="H64" s="284"/>
      <c r="I64" s="284"/>
      <c r="J64" s="284"/>
      <c r="K64" s="525"/>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0</v>
      </c>
      <c r="AD64" s="141">
        <f ca="1">IF(TblMagic[[#This Row],[Harmony]],12,IF(OFFSET(TblMagic[[#This Row],[Active Harmony]],-1,0)&gt;0,OFFSET(TblMagic[[#This Row],[Active Harmony]],-1,0)-1,0))</f>
        <v>0</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44407.291666666519</v>
      </c>
      <c r="F65" s="202">
        <f ca="1">TblImps[[#This Row],[Population]]</f>
        <v>1</v>
      </c>
      <c r="G65" s="284"/>
      <c r="H65" s="284"/>
      <c r="I65" s="284"/>
      <c r="J65" s="284"/>
      <c r="K65" s="525"/>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0</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44407.333333333183</v>
      </c>
      <c r="F66" s="202">
        <f ca="1">TblImps[[#This Row],[Population]]</f>
        <v>1</v>
      </c>
      <c r="G66" s="284"/>
      <c r="H66" s="284"/>
      <c r="I66" s="284"/>
      <c r="J66" s="284"/>
      <c r="K66" s="525"/>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0</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44407.374999999847</v>
      </c>
      <c r="F67" s="202">
        <f ca="1">TblImps[[#This Row],[Population]]</f>
        <v>1</v>
      </c>
      <c r="G67" s="284"/>
      <c r="H67" s="284"/>
      <c r="I67" s="284"/>
      <c r="J67" s="284"/>
      <c r="K67" s="525"/>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7" s="202">
        <f>SUMIF(TblMagic[[#This Row],[Gaia''s Watch]:[Useless spell]],1)*0.05</f>
        <v>0</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0</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44407.416666666511</v>
      </c>
      <c r="F68" s="202">
        <f ca="1">TblImps[[#This Row],[Population]]</f>
        <v>1</v>
      </c>
      <c r="G68" s="284"/>
      <c r="H68" s="284"/>
      <c r="I68" s="284"/>
      <c r="J68" s="284"/>
      <c r="K68" s="525"/>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0</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44407.458333333176</v>
      </c>
      <c r="F69" s="202">
        <f ca="1">TblImps[[#This Row],[Population]]</f>
        <v>1</v>
      </c>
      <c r="G69" s="284"/>
      <c r="H69" s="284"/>
      <c r="I69" s="284"/>
      <c r="J69" s="284"/>
      <c r="K69" s="525"/>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44407.49999999984</v>
      </c>
      <c r="F70" s="202">
        <f ca="1">TblImps[[#This Row],[Population]]</f>
        <v>1</v>
      </c>
      <c r="G70" s="284"/>
      <c r="H70" s="284"/>
      <c r="I70" s="284"/>
      <c r="J70" s="284"/>
      <c r="K70" s="525"/>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0</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44407.541666666504</v>
      </c>
      <c r="F71" s="202">
        <f ca="1">TblImps[[#This Row],[Population]]</f>
        <v>1</v>
      </c>
      <c r="G71" s="284"/>
      <c r="H71" s="284"/>
      <c r="I71" s="284"/>
      <c r="J71" s="284"/>
      <c r="K71" s="525"/>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0</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44407.583333333168</v>
      </c>
      <c r="F72" s="202">
        <f ca="1">TblImps[[#This Row],[Population]]</f>
        <v>1</v>
      </c>
      <c r="G72" s="284"/>
      <c r="H72" s="284"/>
      <c r="I72" s="284"/>
      <c r="J72" s="284"/>
      <c r="K72" s="525"/>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0</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44407.624999999833</v>
      </c>
      <c r="F73" s="202">
        <f ca="1">TblImps[[#This Row],[Population]]</f>
        <v>1</v>
      </c>
      <c r="G73" s="284"/>
      <c r="H73" s="284"/>
      <c r="I73" s="284"/>
      <c r="J73" s="284"/>
      <c r="K73" s="525"/>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0</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44407.666666666497</v>
      </c>
      <c r="F74" s="202">
        <f ca="1">TblImps[[#This Row],[Population]]</f>
        <v>1</v>
      </c>
      <c r="G74" s="284"/>
      <c r="H74" s="284"/>
      <c r="I74" s="284"/>
      <c r="J74" s="284"/>
      <c r="K74" s="525"/>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0</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44407.708333333161</v>
      </c>
      <c r="F75" s="202">
        <f ca="1">TblImps[[#This Row],[Population]]</f>
        <v>1</v>
      </c>
      <c r="G75" s="284"/>
      <c r="H75" s="284"/>
      <c r="I75" s="284"/>
      <c r="J75" s="284"/>
      <c r="K75" s="525"/>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0</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44407.749999999825</v>
      </c>
      <c r="F76" s="345">
        <f ca="1">TblImps[[#This Row],[Population]]</f>
        <v>1</v>
      </c>
      <c r="G76" s="301"/>
      <c r="H76" s="301"/>
      <c r="I76" s="301"/>
      <c r="J76" s="301"/>
      <c r="K76" s="526"/>
      <c r="L76" s="301"/>
      <c r="M76" s="301"/>
      <c r="N76" s="301"/>
      <c r="O76" s="301"/>
      <c r="P76" s="301"/>
      <c r="Q76" s="301"/>
      <c r="R76" s="301"/>
      <c r="S76" s="301"/>
      <c r="T76" s="301"/>
      <c r="U76" s="301"/>
      <c r="V76" s="192"/>
      <c r="W76" s="262">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6" s="345">
        <f>SUMIF(TblMagic[[#This Row],[Gaia''s Watch]:[Useless spell]],1)*0.05</f>
        <v>0</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0</v>
      </c>
      <c r="AC76" s="264">
        <f ca="1">IF(TblMagic[[#This Row],[Midas Touch]],12,IF(OFFSET(TblMagic[[#This Row],[Active Midas Touch]],-1,0)&gt;0,OFFSET(TblMagic[[#This Row],[Active Midas Touch]],-1,0)-1,0))</f>
        <v>0</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0</v>
      </c>
    </row>
    <row r="77" spans="1:39"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44407.79166666649</v>
      </c>
      <c r="F77" s="202">
        <f ca="1">TblImps[[#This Row],[Population]]</f>
        <v>1</v>
      </c>
      <c r="G77" s="284"/>
      <c r="H77" s="284"/>
      <c r="I77" s="284"/>
      <c r="J77" s="284"/>
      <c r="K77" s="525"/>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0</v>
      </c>
      <c r="AC77" s="141">
        <f ca="1">IF(TblMagic[[#This Row],[Midas Touch]],12,IF(OFFSET(TblMagic[[#This Row],[Active Midas Touch]],-1,0)&gt;0,OFFSET(TblMagic[[#This Row],[Active Midas Touch]],-1,0)-1,0))</f>
        <v>0</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0</v>
      </c>
    </row>
    <row r="78" spans="1:39"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44407.833333333154</v>
      </c>
      <c r="F78" s="202">
        <f ca="1">TblImps[[#This Row],[Population]]</f>
        <v>1</v>
      </c>
      <c r="G78" s="284"/>
      <c r="H78" s="284"/>
      <c r="I78" s="284"/>
      <c r="J78" s="284"/>
      <c r="K78" s="525"/>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0</v>
      </c>
      <c r="AC78" s="141">
        <f ca="1">IF(TblMagic[[#This Row],[Midas Touch]],12,IF(OFFSET(TblMagic[[#This Row],[Active Midas Touch]],-1,0)&gt;0,OFFSET(TblMagic[[#This Row],[Active Midas Touch]],-1,0)-1,0))</f>
        <v>0</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0</v>
      </c>
    </row>
    <row r="79" spans="1:39"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44407.874999999818</v>
      </c>
      <c r="F79" s="202">
        <f ca="1">TblImps[[#This Row],[Population]]</f>
        <v>1</v>
      </c>
      <c r="G79" s="284"/>
      <c r="H79" s="284"/>
      <c r="I79" s="284"/>
      <c r="J79" s="284"/>
      <c r="K79" s="525"/>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0</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0</v>
      </c>
    </row>
    <row r="80" spans="1:39"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44407.916666666482</v>
      </c>
      <c r="F80" s="202">
        <f ca="1">TblImps[[#This Row],[Population]]</f>
        <v>1</v>
      </c>
      <c r="G80" s="284"/>
      <c r="H80" s="284"/>
      <c r="I80" s="284"/>
      <c r="J80" s="284"/>
      <c r="K80" s="525"/>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0</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0</v>
      </c>
    </row>
    <row r="81" spans="1:39"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44407.958333333147</v>
      </c>
      <c r="F81" s="202">
        <f ca="1">TblImps[[#This Row],[Population]]</f>
        <v>1</v>
      </c>
      <c r="G81" s="284"/>
      <c r="H81" s="284"/>
      <c r="I81" s="284"/>
      <c r="J81" s="284"/>
      <c r="K81" s="525"/>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0</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0</v>
      </c>
    </row>
    <row r="82" spans="1:39"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44407.999999999811</v>
      </c>
      <c r="F82" s="202">
        <f ca="1">TblImps[[#This Row],[Population]]</f>
        <v>1</v>
      </c>
      <c r="G82" s="284"/>
      <c r="H82" s="284"/>
      <c r="I82" s="284"/>
      <c r="J82" s="284"/>
      <c r="K82" s="525"/>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0</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0</v>
      </c>
    </row>
    <row r="83" spans="1:39"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44408.041666666475</v>
      </c>
      <c r="F83" s="202">
        <f ca="1">TblImps[[#This Row],[Population]]</f>
        <v>1</v>
      </c>
      <c r="G83" s="284"/>
      <c r="H83" s="284"/>
      <c r="I83" s="284"/>
      <c r="J83" s="284"/>
      <c r="K83" s="525"/>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0</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0</v>
      </c>
    </row>
    <row r="84" spans="1:39"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44408.083333333139</v>
      </c>
      <c r="F84" s="202">
        <f ca="1">TblImps[[#This Row],[Population]]</f>
        <v>1</v>
      </c>
      <c r="G84" s="284"/>
      <c r="H84" s="284"/>
      <c r="I84" s="284"/>
      <c r="J84" s="284"/>
      <c r="K84" s="525"/>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0</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0</v>
      </c>
    </row>
    <row r="85" spans="1:39"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44408.124999999804</v>
      </c>
      <c r="F85" s="202">
        <f ca="1">TblImps[[#This Row],[Population]]</f>
        <v>1</v>
      </c>
      <c r="G85" s="284"/>
      <c r="H85" s="284"/>
      <c r="I85" s="284"/>
      <c r="J85" s="284"/>
      <c r="K85" s="525"/>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0</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0</v>
      </c>
    </row>
    <row r="86" spans="1:39"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44408.166666666468</v>
      </c>
      <c r="F86" s="202">
        <f ca="1">TblImps[[#This Row],[Population]]</f>
        <v>1</v>
      </c>
      <c r="G86" s="284"/>
      <c r="H86" s="284"/>
      <c r="I86" s="284"/>
      <c r="J86" s="284"/>
      <c r="K86" s="525"/>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0</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0</v>
      </c>
    </row>
    <row r="87" spans="1:39"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44408.208333333132</v>
      </c>
      <c r="F87" s="202">
        <f ca="1">TblImps[[#This Row],[Population]]</f>
        <v>1</v>
      </c>
      <c r="G87" s="284"/>
      <c r="H87" s="284"/>
      <c r="I87" s="284"/>
      <c r="J87" s="284"/>
      <c r="K87" s="525"/>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0</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0</v>
      </c>
    </row>
    <row r="88" spans="1:39"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44408.249999999796</v>
      </c>
      <c r="F88" s="202">
        <f ca="1">TblImps[[#This Row],[Population]]</f>
        <v>1</v>
      </c>
      <c r="G88" s="284"/>
      <c r="H88" s="284"/>
      <c r="I88" s="284"/>
      <c r="J88" s="284"/>
      <c r="K88" s="525"/>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44408.291666666461</v>
      </c>
      <c r="F89" s="202">
        <f ca="1">TblImps[[#This Row],[Population]]</f>
        <v>1</v>
      </c>
      <c r="G89" s="284"/>
      <c r="H89" s="284"/>
      <c r="I89" s="284"/>
      <c r="J89" s="284"/>
      <c r="K89" s="525"/>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44408.333333333125</v>
      </c>
      <c r="F90" s="202">
        <f ca="1">TblImps[[#This Row],[Population]]</f>
        <v>1</v>
      </c>
      <c r="G90" s="284"/>
      <c r="H90" s="284"/>
      <c r="I90" s="284"/>
      <c r="J90" s="284"/>
      <c r="K90" s="525"/>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44408.374999999789</v>
      </c>
      <c r="F91" s="202">
        <f ca="1">TblImps[[#This Row],[Population]]</f>
        <v>1</v>
      </c>
      <c r="G91" s="284"/>
      <c r="H91" s="284"/>
      <c r="I91" s="284"/>
      <c r="J91" s="284"/>
      <c r="K91" s="525"/>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44408.416666666453</v>
      </c>
      <c r="F92" s="202">
        <f ca="1">TblImps[[#This Row],[Population]]</f>
        <v>1</v>
      </c>
      <c r="G92" s="284"/>
      <c r="H92" s="284"/>
      <c r="I92" s="284"/>
      <c r="J92" s="284"/>
      <c r="K92" s="525"/>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44408.458333333117</v>
      </c>
      <c r="F93" s="202">
        <f ca="1">TblImps[[#This Row],[Population]]</f>
        <v>1</v>
      </c>
      <c r="G93" s="284"/>
      <c r="H93" s="284"/>
      <c r="I93" s="284"/>
      <c r="J93" s="284"/>
      <c r="K93" s="525"/>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44408.499999999782</v>
      </c>
      <c r="F94" s="202">
        <f ca="1">TblImps[[#This Row],[Population]]</f>
        <v>1</v>
      </c>
      <c r="G94" s="284"/>
      <c r="H94" s="284"/>
      <c r="I94" s="284"/>
      <c r="J94" s="284"/>
      <c r="K94" s="525"/>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44408.541666666446</v>
      </c>
      <c r="F95" s="202">
        <f ca="1">TblImps[[#This Row],[Population]]</f>
        <v>1</v>
      </c>
      <c r="G95" s="284"/>
      <c r="H95" s="284"/>
      <c r="I95" s="284"/>
      <c r="J95" s="284"/>
      <c r="K95" s="525"/>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44408.58333333311</v>
      </c>
      <c r="F96" s="202">
        <f ca="1">TblImps[[#This Row],[Population]]</f>
        <v>1</v>
      </c>
      <c r="G96" s="284"/>
      <c r="H96" s="284"/>
      <c r="I96" s="284"/>
      <c r="J96" s="284"/>
      <c r="K96" s="525"/>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44408.624999999774</v>
      </c>
      <c r="F97" s="202">
        <f ca="1">TblImps[[#This Row],[Population]]</f>
        <v>1</v>
      </c>
      <c r="G97" s="284"/>
      <c r="H97" s="284"/>
      <c r="I97" s="284"/>
      <c r="J97" s="284"/>
      <c r="K97" s="525"/>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44408.666666666439</v>
      </c>
      <c r="F98" s="202">
        <f ca="1">TblImps[[#This Row],[Population]]</f>
        <v>1</v>
      </c>
      <c r="G98" s="284"/>
      <c r="H98" s="284"/>
      <c r="I98" s="284"/>
      <c r="J98" s="284"/>
      <c r="K98" s="525"/>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44408.708333333103</v>
      </c>
      <c r="F99" s="202">
        <f ca="1">TblImps[[#This Row],[Population]]</f>
        <v>1</v>
      </c>
      <c r="G99" s="284"/>
      <c r="H99" s="284"/>
      <c r="I99" s="284"/>
      <c r="J99" s="284"/>
      <c r="K99" s="525"/>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44408.749999999767</v>
      </c>
      <c r="F100" s="202">
        <f ca="1">TblImps[[#This Row],[Population]]</f>
        <v>1</v>
      </c>
      <c r="G100" s="284"/>
      <c r="H100" s="284"/>
      <c r="I100" s="284"/>
      <c r="J100" s="284"/>
      <c r="K100" s="525"/>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44408.791666666431</v>
      </c>
      <c r="F101" s="202">
        <f ca="1">TblImps[[#This Row],[Population]]</f>
        <v>1</v>
      </c>
      <c r="G101" s="284"/>
      <c r="H101" s="284"/>
      <c r="I101" s="284"/>
      <c r="J101" s="284"/>
      <c r="K101" s="525"/>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44408.833333333096</v>
      </c>
      <c r="F102" s="202">
        <f ca="1">TblImps[[#This Row],[Population]]</f>
        <v>1</v>
      </c>
      <c r="G102" s="284"/>
      <c r="H102" s="284"/>
      <c r="I102" s="284"/>
      <c r="J102" s="284"/>
      <c r="K102" s="525"/>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44408.87499999976</v>
      </c>
      <c r="F103" s="202">
        <f ca="1">TblImps[[#This Row],[Population]]</f>
        <v>1</v>
      </c>
      <c r="G103" s="284"/>
      <c r="H103" s="284"/>
      <c r="I103" s="284"/>
      <c r="J103" s="284"/>
      <c r="K103" s="525"/>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44408.916666666424</v>
      </c>
      <c r="F104" s="202">
        <f ca="1">TblImps[[#This Row],[Population]]</f>
        <v>1</v>
      </c>
      <c r="G104" s="284"/>
      <c r="H104" s="284"/>
      <c r="I104" s="284"/>
      <c r="J104" s="284"/>
      <c r="K104" s="525"/>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44408.958333333088</v>
      </c>
      <c r="F105" s="202">
        <f ca="1">TblImps[[#This Row],[Population]]</f>
        <v>1</v>
      </c>
      <c r="G105" s="284"/>
      <c r="H105" s="284"/>
      <c r="I105" s="284"/>
      <c r="J105" s="284"/>
      <c r="K105" s="525"/>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44408.999999999753</v>
      </c>
      <c r="F106" s="202">
        <f ca="1">TblImps[[#This Row],[Population]]</f>
        <v>1</v>
      </c>
      <c r="G106" s="284"/>
      <c r="H106" s="284"/>
      <c r="I106" s="284"/>
      <c r="J106" s="284"/>
      <c r="K106" s="525"/>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44409.041666666417</v>
      </c>
      <c r="F107" s="202">
        <f ca="1">TblImps[[#This Row],[Population]]</f>
        <v>1</v>
      </c>
      <c r="G107" s="284"/>
      <c r="H107" s="284"/>
      <c r="I107" s="284"/>
      <c r="J107" s="284"/>
      <c r="K107" s="525"/>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44409.083333333081</v>
      </c>
      <c r="F108" s="202">
        <f ca="1">TblImps[[#This Row],[Population]]</f>
        <v>1</v>
      </c>
      <c r="G108" s="284"/>
      <c r="H108" s="284"/>
      <c r="I108" s="284"/>
      <c r="J108" s="284"/>
      <c r="K108" s="525"/>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44409.124999999745</v>
      </c>
      <c r="F109" s="202">
        <f ca="1">TblImps[[#This Row],[Population]]</f>
        <v>1</v>
      </c>
      <c r="G109" s="284"/>
      <c r="H109" s="284"/>
      <c r="I109" s="284"/>
      <c r="J109" s="284"/>
      <c r="K109" s="525"/>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44409.16666666641</v>
      </c>
      <c r="F110" s="202">
        <f ca="1">TblImps[[#This Row],[Population]]</f>
        <v>1</v>
      </c>
      <c r="G110" s="284"/>
      <c r="H110" s="284"/>
      <c r="I110" s="284"/>
      <c r="J110" s="284"/>
      <c r="K110" s="525"/>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44409.208333333074</v>
      </c>
      <c r="F111" s="202">
        <f ca="1">TblImps[[#This Row],[Population]]</f>
        <v>1</v>
      </c>
      <c r="G111" s="284"/>
      <c r="H111" s="284"/>
      <c r="I111" s="284"/>
      <c r="J111" s="284"/>
      <c r="K111" s="525"/>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44409.249999999738</v>
      </c>
      <c r="F112" s="202">
        <f ca="1">TblImps[[#This Row],[Population]]</f>
        <v>1</v>
      </c>
      <c r="G112" s="284"/>
      <c r="H112" s="284"/>
      <c r="I112" s="284"/>
      <c r="J112" s="284"/>
      <c r="K112" s="525"/>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44409.291666666402</v>
      </c>
      <c r="F113" s="202">
        <f ca="1">TblImps[[#This Row],[Population]]</f>
        <v>1</v>
      </c>
      <c r="G113" s="284"/>
      <c r="H113" s="284"/>
      <c r="I113" s="284"/>
      <c r="J113" s="284"/>
      <c r="K113" s="525"/>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44409.333333333067</v>
      </c>
      <c r="F114" s="202">
        <f ca="1">TblImps[[#This Row],[Population]]</f>
        <v>1</v>
      </c>
      <c r="G114" s="284"/>
      <c r="H114" s="284"/>
      <c r="I114" s="284"/>
      <c r="J114" s="284"/>
      <c r="K114" s="525"/>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44409.374999999731</v>
      </c>
      <c r="F115" s="202">
        <f ca="1">TblImps[[#This Row],[Population]]</f>
        <v>1</v>
      </c>
      <c r="G115" s="284"/>
      <c r="H115" s="284"/>
      <c r="I115" s="284"/>
      <c r="J115" s="284"/>
      <c r="K115" s="525"/>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44409.416666666395</v>
      </c>
      <c r="F116" s="202">
        <f ca="1">TblImps[[#This Row],[Population]]</f>
        <v>1</v>
      </c>
      <c r="G116" s="284"/>
      <c r="H116" s="284"/>
      <c r="I116" s="284"/>
      <c r="J116" s="284"/>
      <c r="K116" s="525"/>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44409.458333333059</v>
      </c>
      <c r="F117" s="202">
        <f ca="1">TblImps[[#This Row],[Population]]</f>
        <v>1</v>
      </c>
      <c r="G117" s="284"/>
      <c r="H117" s="284"/>
      <c r="I117" s="284"/>
      <c r="J117" s="284"/>
      <c r="K117" s="525"/>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44409.499999999724</v>
      </c>
      <c r="F118" s="202">
        <f ca="1">TblImps[[#This Row],[Population]]</f>
        <v>1</v>
      </c>
      <c r="G118" s="284"/>
      <c r="H118" s="284"/>
      <c r="I118" s="284"/>
      <c r="J118" s="284"/>
      <c r="K118" s="525"/>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44409.541666666388</v>
      </c>
      <c r="F119" s="202">
        <f ca="1">TblImps[[#This Row],[Population]]</f>
        <v>1</v>
      </c>
      <c r="G119" s="284"/>
      <c r="H119" s="284"/>
      <c r="I119" s="284"/>
      <c r="J119" s="284"/>
      <c r="K119" s="525"/>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44409.583333333052</v>
      </c>
      <c r="F120" s="202">
        <f ca="1">TblImps[[#This Row],[Population]]</f>
        <v>1</v>
      </c>
      <c r="G120" s="284"/>
      <c r="H120" s="284"/>
      <c r="I120" s="284"/>
      <c r="J120" s="284"/>
      <c r="K120" s="525"/>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44409.624999999716</v>
      </c>
      <c r="F121" s="202">
        <f ca="1">TblImps[[#This Row],[Population]]</f>
        <v>1</v>
      </c>
      <c r="G121" s="284"/>
      <c r="H121" s="284"/>
      <c r="I121" s="284"/>
      <c r="J121" s="284"/>
      <c r="K121" s="525"/>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44409.66666666638</v>
      </c>
      <c r="F122" s="202">
        <f ca="1">TblImps[[#This Row],[Population]]</f>
        <v>1</v>
      </c>
      <c r="G122" s="284"/>
      <c r="H122" s="284"/>
      <c r="I122" s="284"/>
      <c r="J122" s="284"/>
      <c r="K122" s="525"/>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44409.708333333045</v>
      </c>
      <c r="F123" s="202">
        <f ca="1">TblImps[[#This Row],[Population]]</f>
        <v>1</v>
      </c>
      <c r="G123" s="284"/>
      <c r="H123" s="284"/>
      <c r="I123" s="284"/>
      <c r="J123" s="284"/>
      <c r="K123" s="525"/>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44409.749999999709</v>
      </c>
      <c r="F124" s="202">
        <f ca="1">TblImps[[#This Row],[Population]]</f>
        <v>1</v>
      </c>
      <c r="G124" s="284"/>
      <c r="H124" s="284"/>
      <c r="I124" s="284"/>
      <c r="J124" s="284"/>
      <c r="K124" s="525"/>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44409.791666666373</v>
      </c>
      <c r="F125" s="202">
        <f ca="1">TblImps[[#This Row],[Population]]</f>
        <v>1</v>
      </c>
      <c r="G125" s="284"/>
      <c r="H125" s="284"/>
      <c r="I125" s="284"/>
      <c r="J125" s="284"/>
      <c r="K125" s="525"/>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44409.833333333037</v>
      </c>
      <c r="F126" s="202">
        <f ca="1">TblImps[[#This Row],[Population]]</f>
        <v>1</v>
      </c>
      <c r="G126" s="284"/>
      <c r="H126" s="284"/>
      <c r="I126" s="284"/>
      <c r="J126" s="284"/>
      <c r="K126" s="525"/>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44409.874999999702</v>
      </c>
      <c r="F127" s="202">
        <f ca="1">TblImps[[#This Row],[Population]]</f>
        <v>1</v>
      </c>
      <c r="G127" s="284"/>
      <c r="H127" s="284"/>
      <c r="I127" s="284"/>
      <c r="J127" s="284"/>
      <c r="K127" s="525"/>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44409.916666666366</v>
      </c>
      <c r="F128" s="202">
        <f ca="1">TblImps[[#This Row],[Population]]</f>
        <v>1</v>
      </c>
      <c r="G128" s="284"/>
      <c r="H128" s="284"/>
      <c r="I128" s="284"/>
      <c r="J128" s="284"/>
      <c r="K128" s="525"/>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44409.95833333303</v>
      </c>
      <c r="F129" s="202">
        <f ca="1">TblImps[[#This Row],[Population]]</f>
        <v>1</v>
      </c>
      <c r="G129" s="284"/>
      <c r="H129" s="284"/>
      <c r="I129" s="284"/>
      <c r="J129" s="284"/>
      <c r="K129" s="525"/>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44409.999999999694</v>
      </c>
      <c r="F130" s="202">
        <f ca="1">TblImps[[#This Row],[Population]]</f>
        <v>1</v>
      </c>
      <c r="G130" s="284"/>
      <c r="H130" s="284"/>
      <c r="I130" s="284"/>
      <c r="J130" s="284"/>
      <c r="K130" s="525"/>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44410.041666666359</v>
      </c>
      <c r="F131" s="202">
        <f ca="1">TblImps[[#This Row],[Population]]</f>
        <v>1</v>
      </c>
      <c r="G131" s="284"/>
      <c r="H131" s="284"/>
      <c r="I131" s="284"/>
      <c r="J131" s="284"/>
      <c r="K131" s="525"/>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44410.083333333023</v>
      </c>
      <c r="F132" s="202">
        <f ca="1">TblImps[[#This Row],[Population]]</f>
        <v>1</v>
      </c>
      <c r="G132" s="284"/>
      <c r="H132" s="284"/>
      <c r="I132" s="284"/>
      <c r="J132" s="284"/>
      <c r="K132" s="525"/>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44410.124999999687</v>
      </c>
      <c r="F133" s="202">
        <f ca="1">TblImps[[#This Row],[Population]]</f>
        <v>1</v>
      </c>
      <c r="G133" s="284"/>
      <c r="H133" s="284"/>
      <c r="I133" s="284"/>
      <c r="J133" s="284"/>
      <c r="K133" s="525"/>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44410.166666666351</v>
      </c>
      <c r="F134" s="202">
        <f ca="1">TblImps[[#This Row],[Population]]</f>
        <v>1</v>
      </c>
      <c r="G134" s="284"/>
      <c r="H134" s="284"/>
      <c r="I134" s="284"/>
      <c r="J134" s="284"/>
      <c r="K134" s="525"/>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44410.208333333016</v>
      </c>
      <c r="F135" s="202">
        <f ca="1">TblImps[[#This Row],[Population]]</f>
        <v>1</v>
      </c>
      <c r="G135" s="284"/>
      <c r="H135" s="284"/>
      <c r="I135" s="284"/>
      <c r="J135" s="284"/>
      <c r="K135" s="525"/>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44410.24999999968</v>
      </c>
      <c r="F136" s="202">
        <f ca="1">TblImps[[#This Row],[Population]]</f>
        <v>1</v>
      </c>
      <c r="G136" s="284"/>
      <c r="H136" s="284"/>
      <c r="I136" s="284"/>
      <c r="J136" s="284"/>
      <c r="K136" s="525"/>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5" t="s">
        <v>327</v>
      </c>
      <c r="D1269" s="541"/>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65" priority="17" stopIfTrue="1">
      <formula>ROW()-2=#REF!</formula>
    </cfRule>
  </conditionalFormatting>
  <conditionalFormatting sqref="A1269:XFD1270">
    <cfRule type="expression" dxfId="264" priority="18" stopIfTrue="1">
      <formula>$C$1270&gt;144</formula>
    </cfRule>
  </conditionalFormatting>
  <conditionalFormatting sqref="A4:AM136">
    <cfRule type="expression" dxfId="263" priority="1" stopIfTrue="1">
      <formula>ROW()-3=$C$1270</formula>
    </cfRule>
    <cfRule type="expression" dxfId="262" priority="2" stopIfTrue="1">
      <formula>OR(ROW()-3=$C$1270,A4&lt;0)</formula>
    </cfRule>
    <cfRule type="expression" dxfId="261" priority="3">
      <formula>$A4=73</formula>
    </cfRule>
    <cfRule type="expression" dxfId="260" priority="11">
      <formula>ROUND(($A4-1)/12,0)=INT($A4-1)/12</formula>
    </cfRule>
  </conditionalFormatting>
  <conditionalFormatting sqref="G16:U136">
    <cfRule type="expression" dxfId="259" priority="12">
      <formula>COUNTA(G5:G16)&gt;0</formula>
    </cfRule>
  </conditionalFormatting>
  <conditionalFormatting sqref="A1:XFD3">
    <cfRule type="expression" dxfId="258"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1041</v>
      </c>
      <c r="F2" s="366">
        <f>IFERROR(SMALL(TblTech[Activate @ hour],1),0)</f>
        <v>0</v>
      </c>
      <c r="G2" s="97" t="s">
        <v>1109</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383</v>
      </c>
      <c r="D3" s="349" t="s">
        <v>33</v>
      </c>
      <c r="E3" s="349" t="s">
        <v>801</v>
      </c>
      <c r="F3" s="349" t="s">
        <v>1042</v>
      </c>
      <c r="G3" s="349" t="s">
        <v>969</v>
      </c>
      <c r="H3" s="349" t="s">
        <v>1013</v>
      </c>
      <c r="I3" s="349" t="s">
        <v>1014</v>
      </c>
      <c r="J3" s="349" t="s">
        <v>802</v>
      </c>
      <c r="K3" s="350" t="s">
        <v>803</v>
      </c>
      <c r="L3" s="349" t="s">
        <v>970</v>
      </c>
      <c r="M3" s="351" t="s">
        <v>555</v>
      </c>
      <c r="N3" s="351" t="s">
        <v>557</v>
      </c>
      <c r="O3" s="351" t="s">
        <v>559</v>
      </c>
      <c r="P3" s="351" t="s">
        <v>561</v>
      </c>
      <c r="Q3" s="351" t="s">
        <v>563</v>
      </c>
      <c r="R3" s="351" t="s">
        <v>565</v>
      </c>
      <c r="S3" s="351" t="s">
        <v>566</v>
      </c>
      <c r="T3" s="351" t="s">
        <v>567</v>
      </c>
      <c r="U3" s="351" t="s">
        <v>568</v>
      </c>
      <c r="V3" s="351" t="s">
        <v>570</v>
      </c>
      <c r="W3" s="351" t="s">
        <v>572</v>
      </c>
      <c r="X3" s="351" t="s">
        <v>573</v>
      </c>
      <c r="Y3" s="351" t="s">
        <v>574</v>
      </c>
      <c r="Z3" s="351" t="s">
        <v>575</v>
      </c>
      <c r="AA3" s="351" t="s">
        <v>577</v>
      </c>
      <c r="AB3" s="351" t="s">
        <v>579</v>
      </c>
      <c r="AC3" s="351" t="s">
        <v>580</v>
      </c>
      <c r="AD3" s="351" t="s">
        <v>582</v>
      </c>
      <c r="AE3" s="351" t="s">
        <v>584</v>
      </c>
      <c r="AF3" s="351" t="s">
        <v>585</v>
      </c>
      <c r="AG3" s="351" t="s">
        <v>586</v>
      </c>
      <c r="AH3" s="351" t="s">
        <v>588</v>
      </c>
      <c r="AI3" s="351" t="s">
        <v>590</v>
      </c>
      <c r="AJ3" s="351" t="s">
        <v>592</v>
      </c>
      <c r="AK3" s="351" t="s">
        <v>593</v>
      </c>
      <c r="AL3" s="351" t="s">
        <v>595</v>
      </c>
      <c r="AM3" s="351" t="s">
        <v>596</v>
      </c>
      <c r="AN3" s="351" t="s">
        <v>597</v>
      </c>
      <c r="AO3" s="351" t="s">
        <v>598</v>
      </c>
      <c r="AP3" s="351" t="s">
        <v>600</v>
      </c>
      <c r="AQ3" s="351" t="s">
        <v>602</v>
      </c>
      <c r="AR3" s="351" t="s">
        <v>603</v>
      </c>
      <c r="AS3" s="351" t="s">
        <v>604</v>
      </c>
      <c r="AT3" s="351" t="s">
        <v>605</v>
      </c>
      <c r="AU3" s="351" t="s">
        <v>606</v>
      </c>
      <c r="AV3" s="351" t="s">
        <v>607</v>
      </c>
      <c r="AW3" s="351" t="s">
        <v>609</v>
      </c>
      <c r="AX3" s="351" t="s">
        <v>611</v>
      </c>
      <c r="AY3" s="351" t="s">
        <v>612</v>
      </c>
      <c r="AZ3" s="351" t="s">
        <v>613</v>
      </c>
      <c r="BA3" s="351" t="s">
        <v>614</v>
      </c>
      <c r="BB3" s="351" t="s">
        <v>615</v>
      </c>
      <c r="BC3" s="351" t="s">
        <v>616</v>
      </c>
      <c r="BD3" s="351" t="s">
        <v>617</v>
      </c>
      <c r="BE3" s="351" t="s">
        <v>618</v>
      </c>
      <c r="BF3" s="351" t="s">
        <v>619</v>
      </c>
      <c r="BG3" s="351" t="s">
        <v>620</v>
      </c>
      <c r="BH3" s="351" t="s">
        <v>622</v>
      </c>
      <c r="BI3" s="351" t="s">
        <v>623</v>
      </c>
      <c r="BJ3" s="351" t="s">
        <v>625</v>
      </c>
      <c r="BK3" s="351" t="s">
        <v>626</v>
      </c>
      <c r="BL3" s="351" t="s">
        <v>627</v>
      </c>
      <c r="BM3" s="351" t="s">
        <v>629</v>
      </c>
      <c r="BN3" s="351" t="s">
        <v>631</v>
      </c>
      <c r="BO3" s="351" t="s">
        <v>632</v>
      </c>
      <c r="BP3" s="351" t="s">
        <v>633</v>
      </c>
      <c r="BQ3" s="351" t="s">
        <v>635</v>
      </c>
      <c r="BR3" s="351" t="s">
        <v>636</v>
      </c>
      <c r="BS3" s="351" t="s">
        <v>638</v>
      </c>
      <c r="BT3" s="351" t="s">
        <v>640</v>
      </c>
      <c r="BU3" s="351" t="s">
        <v>641</v>
      </c>
      <c r="BV3" s="351" t="s">
        <v>643</v>
      </c>
      <c r="BW3" s="351" t="s">
        <v>644</v>
      </c>
      <c r="BX3" s="351" t="s">
        <v>645</v>
      </c>
      <c r="BY3" s="351" t="s">
        <v>647</v>
      </c>
      <c r="BZ3" s="351" t="s">
        <v>648</v>
      </c>
      <c r="CA3" s="351" t="s">
        <v>704</v>
      </c>
    </row>
    <row r="4" spans="1:79" x14ac:dyDescent="0.2">
      <c r="A4" s="352">
        <f>TblRezone[[#This Row],[Hour]]</f>
        <v>1</v>
      </c>
      <c r="B4" s="353">
        <f ca="1">TblExplore[[#This Row],[Land-DB]]</f>
        <v>250</v>
      </c>
      <c r="C4" s="354">
        <f>TblProd[[#This Row],[Techpoints]]</f>
        <v>0</v>
      </c>
      <c r="D4" s="355">
        <f>TblProd[[#This Row],[Required]]</f>
        <v>10000</v>
      </c>
      <c r="E4" s="356"/>
      <c r="F4" s="357"/>
      <c r="G4" s="358" t="s">
        <v>555</v>
      </c>
      <c r="H4" s="359" t="s">
        <v>705</v>
      </c>
      <c r="I4" s="358" t="s">
        <v>556</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557</v>
      </c>
      <c r="H5" s="359" t="s">
        <v>706</v>
      </c>
      <c r="I5" s="358" t="s">
        <v>558</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559</v>
      </c>
      <c r="H6" s="359" t="s">
        <v>707</v>
      </c>
      <c r="I6" s="358" t="s">
        <v>560</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561</v>
      </c>
      <c r="H7" s="359" t="s">
        <v>708</v>
      </c>
      <c r="I7" s="358" t="s">
        <v>562</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563</v>
      </c>
      <c r="H8" s="359" t="s">
        <v>709</v>
      </c>
      <c r="I8" s="358" t="s">
        <v>564</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565</v>
      </c>
      <c r="H9" s="359" t="s">
        <v>720</v>
      </c>
      <c r="I9" s="358" t="s">
        <v>581</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566</v>
      </c>
      <c r="H10" s="359" t="s">
        <v>749</v>
      </c>
      <c r="I10" s="358" t="s">
        <v>764</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567</v>
      </c>
      <c r="H11" s="359" t="s">
        <v>712</v>
      </c>
      <c r="I11" s="358" t="s">
        <v>1090</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568</v>
      </c>
      <c r="H12" s="359" t="s">
        <v>731</v>
      </c>
      <c r="I12" s="358" t="s">
        <v>601</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570</v>
      </c>
      <c r="H13" s="359" t="s">
        <v>713</v>
      </c>
      <c r="I13" s="358" t="s">
        <v>569</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572</v>
      </c>
      <c r="H14" s="359" t="s">
        <v>1102</v>
      </c>
      <c r="I14" s="358" t="s">
        <v>765</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573</v>
      </c>
      <c r="H16" s="359" t="s">
        <v>715</v>
      </c>
      <c r="I16" s="358" t="s">
        <v>776</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574</v>
      </c>
      <c r="H17" s="359" t="s">
        <v>716</v>
      </c>
      <c r="I17" s="358" t="s">
        <v>777</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575</v>
      </c>
      <c r="H18" s="359" t="s">
        <v>717</v>
      </c>
      <c r="I18" s="358" t="s">
        <v>576</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577</v>
      </c>
      <c r="H19" s="359" t="s">
        <v>718</v>
      </c>
      <c r="I19" s="358" t="s">
        <v>578</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579</v>
      </c>
      <c r="H20" s="359" t="s">
        <v>719</v>
      </c>
      <c r="I20" s="358" t="s">
        <v>1091</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580</v>
      </c>
      <c r="H21" s="359" t="s">
        <v>711</v>
      </c>
      <c r="I21" s="358" t="s">
        <v>766</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582</v>
      </c>
      <c r="H22" s="359" t="s">
        <v>738</v>
      </c>
      <c r="I22" s="358" t="s">
        <v>1092</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584</v>
      </c>
      <c r="H23" s="359" t="s">
        <v>722</v>
      </c>
      <c r="I23" s="358" t="s">
        <v>767</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585</v>
      </c>
      <c r="H24" s="359" t="s">
        <v>723</v>
      </c>
      <c r="I24" s="358" t="s">
        <v>768</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586</v>
      </c>
      <c r="H25" s="359" t="s">
        <v>724</v>
      </c>
      <c r="I25" s="358" t="s">
        <v>587</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588</v>
      </c>
      <c r="H27" s="359" t="s">
        <v>725</v>
      </c>
      <c r="I27" s="358" t="s">
        <v>589</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590</v>
      </c>
      <c r="H28" s="359" t="s">
        <v>726</v>
      </c>
      <c r="I28" s="358" t="s">
        <v>591</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592</v>
      </c>
      <c r="H29" s="359" t="s">
        <v>727</v>
      </c>
      <c r="I29" s="358" t="s">
        <v>778</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593</v>
      </c>
      <c r="H30" s="359" t="s">
        <v>728</v>
      </c>
      <c r="I30" s="358" t="s">
        <v>594</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595</v>
      </c>
      <c r="H31" s="359" t="s">
        <v>710</v>
      </c>
      <c r="I31" s="358" t="s">
        <v>1093</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596</v>
      </c>
      <c r="H32" s="359" t="s">
        <v>721</v>
      </c>
      <c r="I32" s="358" t="s">
        <v>583</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597</v>
      </c>
      <c r="H33" s="359" t="s">
        <v>729</v>
      </c>
      <c r="I33" s="358" t="s">
        <v>769</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598</v>
      </c>
      <c r="H34" s="359" t="s">
        <v>730</v>
      </c>
      <c r="I34" s="358" t="s">
        <v>599</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600</v>
      </c>
      <c r="H35" s="359" t="s">
        <v>714</v>
      </c>
      <c r="I35" s="358" t="s">
        <v>571</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602</v>
      </c>
      <c r="H37" s="359" t="s">
        <v>732</v>
      </c>
      <c r="I37" s="358" t="s">
        <v>786</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603</v>
      </c>
      <c r="H38" s="359" t="s">
        <v>733</v>
      </c>
      <c r="I38" s="358" t="s">
        <v>651</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604</v>
      </c>
      <c r="H39" s="359" t="s">
        <v>734</v>
      </c>
      <c r="I39" s="358" t="s">
        <v>1094</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605</v>
      </c>
      <c r="H40" s="359" t="s">
        <v>735</v>
      </c>
      <c r="I40" s="358" t="s">
        <v>1095</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606</v>
      </c>
      <c r="H41" s="359" t="s">
        <v>1101</v>
      </c>
      <c r="I41" s="358" t="s">
        <v>1096</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607</v>
      </c>
      <c r="H42" s="359" t="s">
        <v>737</v>
      </c>
      <c r="I42" s="358" t="s">
        <v>610</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609</v>
      </c>
      <c r="H43" s="359" t="s">
        <v>1103</v>
      </c>
      <c r="I43" s="358" t="s">
        <v>770</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611</v>
      </c>
      <c r="H44" s="359" t="s">
        <v>736</v>
      </c>
      <c r="I44" s="358" t="s">
        <v>608</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612</v>
      </c>
      <c r="H46" s="359" t="s">
        <v>740</v>
      </c>
      <c r="I46" s="358" t="s">
        <v>1097</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613</v>
      </c>
      <c r="H47" s="359" t="s">
        <v>739</v>
      </c>
      <c r="I47" s="358" t="s">
        <v>771</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614</v>
      </c>
      <c r="H48" s="359" t="s">
        <v>741</v>
      </c>
      <c r="I48" s="358" t="s">
        <v>1093</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615</v>
      </c>
      <c r="H49" s="359" t="s">
        <v>742</v>
      </c>
      <c r="I49" s="358" t="s">
        <v>652</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616</v>
      </c>
      <c r="H50" s="359" t="s">
        <v>743</v>
      </c>
      <c r="I50" s="358" t="s">
        <v>1093</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617</v>
      </c>
      <c r="H51" s="359" t="s">
        <v>406</v>
      </c>
      <c r="I51" s="358" t="s">
        <v>1098</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618</v>
      </c>
      <c r="H52" s="359" t="s">
        <v>745</v>
      </c>
      <c r="I52" s="358" t="s">
        <v>653</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619</v>
      </c>
      <c r="H54" s="359" t="s">
        <v>746</v>
      </c>
      <c r="I54" s="358" t="s">
        <v>583</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620</v>
      </c>
      <c r="H55" s="359" t="s">
        <v>747</v>
      </c>
      <c r="I55" s="358" t="s">
        <v>621</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622</v>
      </c>
      <c r="H56" s="359" t="s">
        <v>1104</v>
      </c>
      <c r="I56" s="358" t="s">
        <v>1099</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623</v>
      </c>
      <c r="H57" s="359" t="s">
        <v>748</v>
      </c>
      <c r="I57" s="358" t="s">
        <v>624</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625</v>
      </c>
      <c r="H58" s="359" t="s">
        <v>744</v>
      </c>
      <c r="I58" s="358" t="s">
        <v>772</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626</v>
      </c>
      <c r="H59" s="359" t="s">
        <v>750</v>
      </c>
      <c r="I59" s="358" t="s">
        <v>773</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627</v>
      </c>
      <c r="H61" s="359" t="s">
        <v>751</v>
      </c>
      <c r="I61" s="358" t="s">
        <v>628</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629</v>
      </c>
      <c r="H62" s="359" t="s">
        <v>755</v>
      </c>
      <c r="I62" s="358" t="s">
        <v>1100</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631</v>
      </c>
      <c r="H63" s="359" t="s">
        <v>1105</v>
      </c>
      <c r="I63" s="358" t="s">
        <v>774</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632</v>
      </c>
      <c r="H64" s="359" t="s">
        <v>753</v>
      </c>
      <c r="I64" s="358" t="s">
        <v>654</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633</v>
      </c>
      <c r="H65" s="359" t="s">
        <v>754</v>
      </c>
      <c r="I65" s="358" t="s">
        <v>634</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635</v>
      </c>
      <c r="H67" s="359" t="s">
        <v>1106</v>
      </c>
      <c r="I67" s="358" t="s">
        <v>775</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636</v>
      </c>
      <c r="H68" s="359" t="s">
        <v>756</v>
      </c>
      <c r="I68" s="358" t="s">
        <v>637</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638</v>
      </c>
      <c r="H69" s="359" t="s">
        <v>757</v>
      </c>
      <c r="I69" s="358" t="s">
        <v>639</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640</v>
      </c>
      <c r="H70" s="359" t="s">
        <v>758</v>
      </c>
      <c r="I70" s="358" t="s">
        <v>787</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641</v>
      </c>
      <c r="H72" s="359" t="s">
        <v>759</v>
      </c>
      <c r="I72" s="358" t="s">
        <v>642</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643</v>
      </c>
      <c r="H73" s="359" t="s">
        <v>760</v>
      </c>
      <c r="I73" s="358" t="s">
        <v>587</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644</v>
      </c>
      <c r="H74" s="359" t="s">
        <v>761</v>
      </c>
      <c r="I74" s="358" t="s">
        <v>788</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645</v>
      </c>
      <c r="H76" s="359" t="s">
        <v>752</v>
      </c>
      <c r="I76" s="358" t="s">
        <v>630</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647</v>
      </c>
      <c r="H77" s="359" t="s">
        <v>762</v>
      </c>
      <c r="I77" s="358" t="s">
        <v>646</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648</v>
      </c>
      <c r="H79" s="359" t="s">
        <v>763</v>
      </c>
      <c r="I79" s="358" t="s">
        <v>649</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1015</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293</v>
      </c>
      <c r="K1" s="194"/>
      <c r="O1" s="72" t="s">
        <v>227</v>
      </c>
      <c r="W1" s="72" t="s">
        <v>1043</v>
      </c>
      <c r="Y1" s="194" t="s">
        <v>37</v>
      </c>
      <c r="Z1" s="194"/>
      <c r="AA1" s="194"/>
      <c r="AB1" s="194"/>
      <c r="AC1" s="194"/>
      <c r="AD1" s="194"/>
      <c r="AF1" s="600" t="s">
        <v>221</v>
      </c>
      <c r="AG1" s="600"/>
      <c r="AH1" s="194"/>
      <c r="AI1" s="194"/>
      <c r="AJ1" s="194"/>
      <c r="AK1" s="194"/>
      <c r="AM1" s="598" t="s">
        <v>229</v>
      </c>
      <c r="AN1" s="598"/>
      <c r="AO1" s="367"/>
      <c r="AP1" s="367"/>
      <c r="AQ1" s="368"/>
      <c r="AR1" s="598" t="s">
        <v>230</v>
      </c>
      <c r="AS1" s="598"/>
      <c r="AT1" s="599"/>
      <c r="AU1" s="367"/>
      <c r="AV1" s="368"/>
      <c r="AW1" s="598" t="s">
        <v>231</v>
      </c>
      <c r="AX1" s="598"/>
      <c r="AY1" s="598"/>
      <c r="AZ1" s="367"/>
      <c r="BA1" s="368"/>
      <c r="BB1" s="598" t="s">
        <v>232</v>
      </c>
      <c r="BC1" s="598"/>
      <c r="BD1" s="598"/>
      <c r="BE1" s="598"/>
      <c r="BF1" s="368"/>
      <c r="BG1" s="598" t="s">
        <v>233</v>
      </c>
      <c r="BH1" s="598"/>
      <c r="BI1" s="598"/>
      <c r="BJ1" s="367"/>
      <c r="BK1" s="368"/>
      <c r="BL1" s="598" t="s">
        <v>234</v>
      </c>
      <c r="BM1" s="599"/>
      <c r="BN1" s="599"/>
      <c r="BO1" s="367"/>
      <c r="BP1" s="368"/>
      <c r="BQ1" s="598" t="s">
        <v>235</v>
      </c>
      <c r="BR1" s="598"/>
      <c r="BS1" s="598"/>
      <c r="BT1" s="367"/>
      <c r="BV1" s="72" t="s">
        <v>319</v>
      </c>
    </row>
    <row r="2" spans="1:84" s="72" customFormat="1" x14ac:dyDescent="0.2">
      <c r="C2" s="194"/>
      <c r="D2" s="194"/>
      <c r="E2" s="194"/>
      <c r="F2" s="194"/>
      <c r="K2" s="194"/>
      <c r="Y2" s="369" t="s">
        <v>220</v>
      </c>
      <c r="Z2" s="369" t="s">
        <v>222</v>
      </c>
      <c r="AA2" s="369" t="s">
        <v>223</v>
      </c>
      <c r="AB2" s="369" t="s">
        <v>224</v>
      </c>
      <c r="AC2" s="369" t="s">
        <v>225</v>
      </c>
      <c r="AD2" s="369" t="s">
        <v>226</v>
      </c>
      <c r="AF2" s="369" t="s">
        <v>220</v>
      </c>
      <c r="AG2" s="369" t="s">
        <v>222</v>
      </c>
      <c r="AH2" s="369" t="s">
        <v>223</v>
      </c>
      <c r="AI2" s="369" t="s">
        <v>224</v>
      </c>
      <c r="AJ2" s="369" t="s">
        <v>225</v>
      </c>
      <c r="AK2" s="369" t="s">
        <v>226</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801</v>
      </c>
      <c r="C3" s="196" t="s">
        <v>2</v>
      </c>
      <c r="D3" s="196" t="s">
        <v>7</v>
      </c>
      <c r="E3" s="196" t="s">
        <v>3</v>
      </c>
      <c r="F3" s="196" t="s">
        <v>4</v>
      </c>
      <c r="G3" s="196" t="s">
        <v>802</v>
      </c>
      <c r="H3" s="196" t="s">
        <v>285</v>
      </c>
      <c r="I3" s="196" t="s">
        <v>236</v>
      </c>
      <c r="J3" s="196" t="s">
        <v>23</v>
      </c>
      <c r="K3" s="196" t="s">
        <v>0</v>
      </c>
      <c r="L3" s="196" t="s">
        <v>322</v>
      </c>
      <c r="M3" s="196" t="s">
        <v>318</v>
      </c>
      <c r="N3" s="196" t="s">
        <v>1004</v>
      </c>
      <c r="O3" s="196" t="s">
        <v>325</v>
      </c>
      <c r="P3" s="196" t="s">
        <v>228</v>
      </c>
      <c r="Q3" s="196" t="s">
        <v>326</v>
      </c>
      <c r="R3" s="196" t="s">
        <v>1005</v>
      </c>
      <c r="S3" s="196" t="s">
        <v>1006</v>
      </c>
      <c r="T3" s="196" t="s">
        <v>1007</v>
      </c>
      <c r="U3" s="196" t="s">
        <v>1008</v>
      </c>
      <c r="V3" s="196" t="s">
        <v>1009</v>
      </c>
      <c r="W3" s="196" t="s">
        <v>1010</v>
      </c>
      <c r="X3" s="196" t="s">
        <v>803</v>
      </c>
      <c r="Y3" s="196" t="s">
        <v>220</v>
      </c>
      <c r="Z3" s="196" t="s">
        <v>222</v>
      </c>
      <c r="AA3" s="196" t="s">
        <v>223</v>
      </c>
      <c r="AB3" s="196" t="s">
        <v>224</v>
      </c>
      <c r="AC3" s="196" t="s">
        <v>225</v>
      </c>
      <c r="AD3" s="196" t="s">
        <v>226</v>
      </c>
      <c r="AE3" s="196" t="s">
        <v>821</v>
      </c>
      <c r="AF3" s="196" t="s">
        <v>1073</v>
      </c>
      <c r="AG3" s="196" t="s">
        <v>971</v>
      </c>
      <c r="AH3" s="196" t="s">
        <v>972</v>
      </c>
      <c r="AI3" s="196" t="s">
        <v>973</v>
      </c>
      <c r="AJ3" s="196" t="s">
        <v>974</v>
      </c>
      <c r="AK3" s="196" t="s">
        <v>975</v>
      </c>
      <c r="AL3" s="196" t="s">
        <v>822</v>
      </c>
      <c r="AM3" s="371" t="s">
        <v>976</v>
      </c>
      <c r="AN3" s="371" t="s">
        <v>977</v>
      </c>
      <c r="AO3" s="371" t="s">
        <v>978</v>
      </c>
      <c r="AP3" s="371" t="s">
        <v>979</v>
      </c>
      <c r="AQ3" s="371" t="s">
        <v>823</v>
      </c>
      <c r="AR3" s="371" t="s">
        <v>980</v>
      </c>
      <c r="AS3" s="371" t="s">
        <v>981</v>
      </c>
      <c r="AT3" s="371" t="s">
        <v>982</v>
      </c>
      <c r="AU3" s="371" t="s">
        <v>983</v>
      </c>
      <c r="AV3" s="371" t="s">
        <v>898</v>
      </c>
      <c r="AW3" s="371" t="s">
        <v>984</v>
      </c>
      <c r="AX3" s="371" t="s">
        <v>985</v>
      </c>
      <c r="AY3" s="371" t="s">
        <v>986</v>
      </c>
      <c r="AZ3" s="371" t="s">
        <v>987</v>
      </c>
      <c r="BA3" s="371" t="s">
        <v>899</v>
      </c>
      <c r="BB3" s="371" t="s">
        <v>988</v>
      </c>
      <c r="BC3" s="371" t="s">
        <v>989</v>
      </c>
      <c r="BD3" s="371" t="s">
        <v>990</v>
      </c>
      <c r="BE3" s="371" t="s">
        <v>991</v>
      </c>
      <c r="BF3" s="371" t="s">
        <v>1074</v>
      </c>
      <c r="BG3" s="371" t="s">
        <v>992</v>
      </c>
      <c r="BH3" s="371" t="s">
        <v>993</v>
      </c>
      <c r="BI3" s="371" t="s">
        <v>994</v>
      </c>
      <c r="BJ3" s="371" t="s">
        <v>995</v>
      </c>
      <c r="BK3" s="371" t="s">
        <v>1075</v>
      </c>
      <c r="BL3" s="371" t="s">
        <v>996</v>
      </c>
      <c r="BM3" s="371" t="s">
        <v>997</v>
      </c>
      <c r="BN3" s="371" t="s">
        <v>998</v>
      </c>
      <c r="BO3" s="371" t="s">
        <v>999</v>
      </c>
      <c r="BP3" s="371" t="s">
        <v>1076</v>
      </c>
      <c r="BQ3" s="371" t="s">
        <v>1000</v>
      </c>
      <c r="BR3" s="371" t="s">
        <v>1001</v>
      </c>
      <c r="BS3" s="371" t="s">
        <v>1002</v>
      </c>
      <c r="BT3" s="371" t="s">
        <v>1003</v>
      </c>
      <c r="BU3" s="196" t="s">
        <v>1077</v>
      </c>
      <c r="BV3" s="372" t="s">
        <v>320</v>
      </c>
      <c r="BW3" s="196" t="s">
        <v>1011</v>
      </c>
      <c r="BX3" s="196" t="s">
        <v>1078</v>
      </c>
      <c r="BY3" s="196" t="s">
        <v>1012</v>
      </c>
      <c r="BZ3" s="196" t="s">
        <v>321</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44404.75</v>
      </c>
      <c r="M4" s="74">
        <f>IF(ISERROR(TblImps[[#This Row],[algorithm]]),0,TblImps[[#This Row],[algorithm]]*1)</f>
        <v>0</v>
      </c>
      <c r="N4" s="113">
        <f ca="1">TblImps[[#This Row],[Land]]</f>
        <v>250</v>
      </c>
      <c r="O4" s="375" t="s">
        <v>4</v>
      </c>
      <c r="P4" s="376"/>
      <c r="Q4" s="375" t="s">
        <v>220</v>
      </c>
      <c r="R4" s="375" t="s">
        <v>7</v>
      </c>
      <c r="S4" s="376"/>
      <c r="T4" s="375" t="s">
        <v>220</v>
      </c>
      <c r="U4" s="375" t="s">
        <v>3</v>
      </c>
      <c r="V4" s="376"/>
      <c r="W4" s="375" t="s">
        <v>220</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44404.75</v>
      </c>
      <c r="BZ4" s="383">
        <f>Overview!B15</f>
        <v>44405</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44404.791666666664</v>
      </c>
      <c r="M5" s="74">
        <f>IF(ISERROR(TblImps[[#This Row],[algorithm]]),0,TblImps[[#This Row],[algorithm]]*1)</f>
        <v>0</v>
      </c>
      <c r="N5" s="113">
        <f ca="1">TblImps[[#This Row],[Land]]</f>
        <v>250</v>
      </c>
      <c r="O5" s="375" t="s">
        <v>4</v>
      </c>
      <c r="P5" s="376"/>
      <c r="Q5" s="375" t="s">
        <v>222</v>
      </c>
      <c r="R5" s="375" t="s">
        <v>7</v>
      </c>
      <c r="S5" s="376"/>
      <c r="T5" s="375" t="s">
        <v>222</v>
      </c>
      <c r="U5" s="375" t="s">
        <v>3</v>
      </c>
      <c r="V5" s="376"/>
      <c r="W5" s="375" t="s">
        <v>222</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44404.791666666664</v>
      </c>
      <c r="BZ5" s="387">
        <f ca="1">OFFSET(TblImps[[#This Row],[Servertime]],-1,0)+1/24</f>
        <v>44405.041666666664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44404.833333333328</v>
      </c>
      <c r="M6" s="74">
        <f>IF(ISERROR(TblImps[[#This Row],[algorithm]]),0,TblImps[[#This Row],[algorithm]]*1)</f>
        <v>0</v>
      </c>
      <c r="N6" s="113">
        <f ca="1">TblImps[[#This Row],[Land]]</f>
        <v>250</v>
      </c>
      <c r="O6" s="375" t="s">
        <v>4</v>
      </c>
      <c r="P6" s="376"/>
      <c r="Q6" s="375" t="s">
        <v>222</v>
      </c>
      <c r="R6" s="375" t="s">
        <v>7</v>
      </c>
      <c r="S6" s="376"/>
      <c r="T6" s="375" t="s">
        <v>222</v>
      </c>
      <c r="U6" s="375" t="s">
        <v>3</v>
      </c>
      <c r="V6" s="376"/>
      <c r="W6" s="375" t="s">
        <v>222</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44404.833333333328</v>
      </c>
      <c r="BZ6" s="387">
        <f ca="1">OFFSET(TblImps[[#This Row],[Servertime]],-1,0)+1/24</f>
        <v>44405.083333333328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44404.874999999993</v>
      </c>
      <c r="M7" s="74">
        <f>IF(ISERROR(TblImps[[#This Row],[algorithm]]),0,TblImps[[#This Row],[algorithm]]*1)</f>
        <v>0</v>
      </c>
      <c r="N7" s="113">
        <f ca="1">TblImps[[#This Row],[Land]]</f>
        <v>250</v>
      </c>
      <c r="O7" s="375" t="s">
        <v>4</v>
      </c>
      <c r="P7" s="376"/>
      <c r="Q7" s="375" t="s">
        <v>222</v>
      </c>
      <c r="R7" s="375" t="s">
        <v>7</v>
      </c>
      <c r="S7" s="376"/>
      <c r="T7" s="375" t="s">
        <v>222</v>
      </c>
      <c r="U7" s="375" t="s">
        <v>3</v>
      </c>
      <c r="V7" s="376"/>
      <c r="W7" s="375" t="s">
        <v>222</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44404.874999999993</v>
      </c>
      <c r="BZ7" s="387">
        <f ca="1">OFFSET(TblImps[[#This Row],[Servertime]],-1,0)+1/24</f>
        <v>44405.124999999993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44404.916666666657</v>
      </c>
      <c r="M8" s="74">
        <f>IF(ISERROR(TblImps[[#This Row],[algorithm]]),0,TblImps[[#This Row],[algorithm]]*1)</f>
        <v>0</v>
      </c>
      <c r="N8" s="113">
        <f ca="1">TblImps[[#This Row],[Land]]</f>
        <v>250</v>
      </c>
      <c r="O8" s="375" t="s">
        <v>4</v>
      </c>
      <c r="P8" s="376"/>
      <c r="Q8" s="375" t="s">
        <v>222</v>
      </c>
      <c r="R8" s="375" t="s">
        <v>7</v>
      </c>
      <c r="S8" s="376"/>
      <c r="T8" s="375" t="s">
        <v>222</v>
      </c>
      <c r="U8" s="375" t="s">
        <v>3</v>
      </c>
      <c r="V8" s="376"/>
      <c r="W8" s="375" t="s">
        <v>222</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44404.916666666657</v>
      </c>
      <c r="BZ8" s="387">
        <f ca="1">OFFSET(TblImps[[#This Row],[Servertime]],-1,0)+1/24</f>
        <v>44405.166666666657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44404.958333333321</v>
      </c>
      <c r="M9" s="74">
        <f>IF(ISERROR(TblImps[[#This Row],[algorithm]]),0,TblImps[[#This Row],[algorithm]]*1)</f>
        <v>0</v>
      </c>
      <c r="N9" s="113">
        <f ca="1">TblImps[[#This Row],[Land]]</f>
        <v>250</v>
      </c>
      <c r="O9" s="375" t="s">
        <v>4</v>
      </c>
      <c r="P9" s="376"/>
      <c r="Q9" s="375" t="s">
        <v>222</v>
      </c>
      <c r="R9" s="375" t="s">
        <v>7</v>
      </c>
      <c r="S9" s="376"/>
      <c r="T9" s="375" t="s">
        <v>222</v>
      </c>
      <c r="U9" s="375" t="s">
        <v>3</v>
      </c>
      <c r="V9" s="376"/>
      <c r="W9" s="375" t="s">
        <v>222</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44404.958333333321</v>
      </c>
      <c r="BZ9" s="387">
        <f ca="1">OFFSET(TblImps[[#This Row],[Servertime]],-1,0)+1/24</f>
        <v>44405.208333333321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44404.999999999985</v>
      </c>
      <c r="M10" s="74">
        <f>IF(ISERROR(TblImps[[#This Row],[algorithm]]),0,TblImps[[#This Row],[algorithm]]*1)</f>
        <v>0</v>
      </c>
      <c r="N10" s="113">
        <f ca="1">TblImps[[#This Row],[Land]]</f>
        <v>250</v>
      </c>
      <c r="O10" s="375" t="s">
        <v>4</v>
      </c>
      <c r="P10" s="376"/>
      <c r="Q10" s="375" t="s">
        <v>222</v>
      </c>
      <c r="R10" s="375" t="s">
        <v>7</v>
      </c>
      <c r="S10" s="376"/>
      <c r="T10" s="375" t="s">
        <v>222</v>
      </c>
      <c r="U10" s="375" t="s">
        <v>3</v>
      </c>
      <c r="V10" s="376"/>
      <c r="W10" s="375" t="s">
        <v>222</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44404.999999999985</v>
      </c>
      <c r="BZ10" s="387">
        <f ca="1">OFFSET(TblImps[[#This Row],[Servertime]],-1,0)+1/24</f>
        <v>44405.249999999985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44405.04166666665</v>
      </c>
      <c r="M11" s="74">
        <f>IF(ISERROR(TblImps[[#This Row],[algorithm]]),0,TblImps[[#This Row],[algorithm]]*1)</f>
        <v>0</v>
      </c>
      <c r="N11" s="113">
        <f ca="1">TblImps[[#This Row],[Land]]</f>
        <v>250</v>
      </c>
      <c r="O11" s="375" t="s">
        <v>4</v>
      </c>
      <c r="P11" s="376"/>
      <c r="Q11" s="375" t="s">
        <v>222</v>
      </c>
      <c r="R11" s="375" t="s">
        <v>7</v>
      </c>
      <c r="S11" s="376"/>
      <c r="T11" s="375" t="s">
        <v>222</v>
      </c>
      <c r="U11" s="375" t="s">
        <v>3</v>
      </c>
      <c r="V11" s="376"/>
      <c r="W11" s="375" t="s">
        <v>222</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44405.04166666665</v>
      </c>
      <c r="BZ11" s="387">
        <f ca="1">OFFSET(TblImps[[#This Row],[Servertime]],-1,0)+1/24</f>
        <v>44405.29166666665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44405.083333333314</v>
      </c>
      <c r="M12" s="74">
        <f>IF(ISERROR(TblImps[[#This Row],[algorithm]]),0,TblImps[[#This Row],[algorithm]]*1)</f>
        <v>0</v>
      </c>
      <c r="N12" s="113">
        <f ca="1">TblImps[[#This Row],[Land]]</f>
        <v>250</v>
      </c>
      <c r="O12" s="375" t="s">
        <v>4</v>
      </c>
      <c r="P12" s="376"/>
      <c r="Q12" s="375" t="s">
        <v>222</v>
      </c>
      <c r="R12" s="375" t="s">
        <v>7</v>
      </c>
      <c r="S12" s="376"/>
      <c r="T12" s="375" t="s">
        <v>222</v>
      </c>
      <c r="U12" s="375" t="s">
        <v>3</v>
      </c>
      <c r="V12" s="376"/>
      <c r="W12" s="375" t="s">
        <v>222</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44405.083333333314</v>
      </c>
      <c r="BZ12" s="387">
        <f ca="1">OFFSET(TblImps[[#This Row],[Servertime]],-1,0)+1/24</f>
        <v>44405.333333333314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44405.124999999978</v>
      </c>
      <c r="M13" s="74">
        <f>IF(ISERROR(TblImps[[#This Row],[algorithm]]),0,TblImps[[#This Row],[algorithm]]*1)</f>
        <v>0</v>
      </c>
      <c r="N13" s="113">
        <f ca="1">TblImps[[#This Row],[Land]]</f>
        <v>250</v>
      </c>
      <c r="O13" s="375" t="s">
        <v>4</v>
      </c>
      <c r="P13" s="376"/>
      <c r="Q13" s="375" t="s">
        <v>222</v>
      </c>
      <c r="R13" s="375" t="s">
        <v>7</v>
      </c>
      <c r="S13" s="376"/>
      <c r="T13" s="375" t="s">
        <v>222</v>
      </c>
      <c r="U13" s="375" t="s">
        <v>3</v>
      </c>
      <c r="V13" s="376"/>
      <c r="W13" s="375" t="s">
        <v>222</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44405.124999999978</v>
      </c>
      <c r="BZ13" s="387">
        <f ca="1">OFFSET(TblImps[[#This Row],[Servertime]],-1,0)+1/24</f>
        <v>44405.374999999978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44405.166666666642</v>
      </c>
      <c r="M14" s="74">
        <f>IF(ISERROR(TblImps[[#This Row],[algorithm]]),0,TblImps[[#This Row],[algorithm]]*1)</f>
        <v>0</v>
      </c>
      <c r="N14" s="113">
        <f ca="1">TblImps[[#This Row],[Land]]</f>
        <v>250</v>
      </c>
      <c r="O14" s="375" t="s">
        <v>4</v>
      </c>
      <c r="P14" s="376"/>
      <c r="Q14" s="375" t="s">
        <v>222</v>
      </c>
      <c r="R14" s="375" t="s">
        <v>7</v>
      </c>
      <c r="S14" s="376"/>
      <c r="T14" s="375" t="s">
        <v>222</v>
      </c>
      <c r="U14" s="375" t="s">
        <v>3</v>
      </c>
      <c r="V14" s="376"/>
      <c r="W14" s="375" t="s">
        <v>222</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44405.166666666642</v>
      </c>
      <c r="BZ14" s="387">
        <f ca="1">OFFSET(TblImps[[#This Row],[Servertime]],-1,0)+1/24</f>
        <v>44405.416666666642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44405.208333333307</v>
      </c>
      <c r="M15" s="74">
        <f>IF(ISERROR(TblImps[[#This Row],[algorithm]]),0,TblImps[[#This Row],[algorithm]]*1)</f>
        <v>0</v>
      </c>
      <c r="N15" s="113">
        <f ca="1">TblImps[[#This Row],[Land]]</f>
        <v>250</v>
      </c>
      <c r="O15" s="375" t="s">
        <v>4</v>
      </c>
      <c r="P15" s="376"/>
      <c r="Q15" s="375" t="s">
        <v>222</v>
      </c>
      <c r="R15" s="375" t="s">
        <v>7</v>
      </c>
      <c r="S15" s="376"/>
      <c r="T15" s="375" t="s">
        <v>222</v>
      </c>
      <c r="U15" s="375" t="s">
        <v>3</v>
      </c>
      <c r="V15" s="376"/>
      <c r="W15" s="375" t="s">
        <v>222</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44405.208333333307</v>
      </c>
      <c r="BZ15" s="387">
        <f ca="1">OFFSET(TblImps[[#This Row],[Servertime]],-1,0)+1/24</f>
        <v>44405.458333333307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44405.249999999971</v>
      </c>
      <c r="M16" s="74">
        <f>IF(ISERROR(TblImps[[#This Row],[algorithm]]),0,TblImps[[#This Row],[algorithm]]*1)</f>
        <v>0</v>
      </c>
      <c r="N16" s="113">
        <f ca="1">TblImps[[#This Row],[Land]]</f>
        <v>250</v>
      </c>
      <c r="O16" s="375" t="s">
        <v>4</v>
      </c>
      <c r="P16" s="376"/>
      <c r="Q16" s="375" t="s">
        <v>222</v>
      </c>
      <c r="R16" s="375" t="s">
        <v>7</v>
      </c>
      <c r="S16" s="376"/>
      <c r="T16" s="375" t="s">
        <v>222</v>
      </c>
      <c r="U16" s="375" t="s">
        <v>3</v>
      </c>
      <c r="V16" s="376"/>
      <c r="W16" s="375" t="s">
        <v>222</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44405.249999999971</v>
      </c>
      <c r="BZ16" s="387">
        <f ca="1">OFFSET(TblImps[[#This Row],[Servertime]],-1,0)+1/24</f>
        <v>44405.499999999971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44405.291666666635</v>
      </c>
      <c r="M17" s="74">
        <f>IF(ISERROR(TblImps[[#This Row],[algorithm]]),0,TblImps[[#This Row],[algorithm]]*1)</f>
        <v>0</v>
      </c>
      <c r="N17" s="113">
        <f ca="1">TblImps[[#This Row],[Land]]</f>
        <v>250</v>
      </c>
      <c r="O17" s="375" t="s">
        <v>4</v>
      </c>
      <c r="P17" s="376"/>
      <c r="Q17" s="375" t="s">
        <v>222</v>
      </c>
      <c r="R17" s="375" t="s">
        <v>7</v>
      </c>
      <c r="S17" s="376"/>
      <c r="T17" s="375" t="s">
        <v>222</v>
      </c>
      <c r="U17" s="375" t="s">
        <v>3</v>
      </c>
      <c r="V17" s="376"/>
      <c r="W17" s="375" t="s">
        <v>222</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44405.291666666635</v>
      </c>
      <c r="BZ17" s="387">
        <f ca="1">OFFSET(TblImps[[#This Row],[Servertime]],-1,0)+1/24</f>
        <v>44405.541666666635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44405.333333333299</v>
      </c>
      <c r="M18" s="74">
        <f>IF(ISERROR(TblImps[[#This Row],[algorithm]]),0,TblImps[[#This Row],[algorithm]]*1)</f>
        <v>0</v>
      </c>
      <c r="N18" s="113">
        <f ca="1">TblImps[[#This Row],[Land]]</f>
        <v>250</v>
      </c>
      <c r="O18" s="375" t="s">
        <v>4</v>
      </c>
      <c r="P18" s="376"/>
      <c r="Q18" s="375" t="s">
        <v>222</v>
      </c>
      <c r="R18" s="375" t="s">
        <v>7</v>
      </c>
      <c r="S18" s="376"/>
      <c r="T18" s="375" t="s">
        <v>222</v>
      </c>
      <c r="U18" s="375" t="s">
        <v>3</v>
      </c>
      <c r="V18" s="376"/>
      <c r="W18" s="375" t="s">
        <v>222</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44405.333333333299</v>
      </c>
      <c r="BZ18" s="387">
        <f ca="1">OFFSET(TblImps[[#This Row],[Servertime]],-1,0)+1/24</f>
        <v>44405.583333333299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44405.374999999964</v>
      </c>
      <c r="M19" s="74">
        <f>IF(ISERROR(TblImps[[#This Row],[algorithm]]),0,TblImps[[#This Row],[algorithm]]*1)</f>
        <v>0</v>
      </c>
      <c r="N19" s="113">
        <f ca="1">TblImps[[#This Row],[Land]]</f>
        <v>250</v>
      </c>
      <c r="O19" s="375" t="s">
        <v>4</v>
      </c>
      <c r="P19" s="376"/>
      <c r="Q19" s="375" t="s">
        <v>222</v>
      </c>
      <c r="R19" s="375" t="s">
        <v>7</v>
      </c>
      <c r="S19" s="376"/>
      <c r="T19" s="375" t="s">
        <v>222</v>
      </c>
      <c r="U19" s="375" t="s">
        <v>3</v>
      </c>
      <c r="V19" s="376"/>
      <c r="W19" s="375" t="s">
        <v>222</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44405.374999999964</v>
      </c>
      <c r="BZ19" s="387">
        <f ca="1">OFFSET(TblImps[[#This Row],[Servertime]],-1,0)+1/24</f>
        <v>44405.624999999964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44405.416666666628</v>
      </c>
      <c r="M20" s="74">
        <f>IF(ISERROR(TblImps[[#This Row],[algorithm]]),0,TblImps[[#This Row],[algorithm]]*1)</f>
        <v>0</v>
      </c>
      <c r="N20" s="113">
        <f ca="1">TblImps[[#This Row],[Land]]</f>
        <v>250</v>
      </c>
      <c r="O20" s="375" t="s">
        <v>4</v>
      </c>
      <c r="P20" s="376"/>
      <c r="Q20" s="375" t="s">
        <v>222</v>
      </c>
      <c r="R20" s="375" t="s">
        <v>7</v>
      </c>
      <c r="S20" s="376"/>
      <c r="T20" s="375" t="s">
        <v>222</v>
      </c>
      <c r="U20" s="375" t="s">
        <v>3</v>
      </c>
      <c r="V20" s="376"/>
      <c r="W20" s="375" t="s">
        <v>222</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44405.416666666628</v>
      </c>
      <c r="BZ20" s="387">
        <f ca="1">OFFSET(TblImps[[#This Row],[Servertime]],-1,0)+1/24</f>
        <v>44405.666666666628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44405.458333333292</v>
      </c>
      <c r="M21" s="74">
        <f>IF(ISERROR(TblImps[[#This Row],[algorithm]]),0,TblImps[[#This Row],[algorithm]]*1)</f>
        <v>0</v>
      </c>
      <c r="N21" s="113">
        <f ca="1">TblImps[[#This Row],[Land]]</f>
        <v>250</v>
      </c>
      <c r="O21" s="375" t="s">
        <v>4</v>
      </c>
      <c r="P21" s="376"/>
      <c r="Q21" s="375" t="s">
        <v>222</v>
      </c>
      <c r="R21" s="375" t="s">
        <v>7</v>
      </c>
      <c r="S21" s="376"/>
      <c r="T21" s="375" t="s">
        <v>222</v>
      </c>
      <c r="U21" s="375" t="s">
        <v>3</v>
      </c>
      <c r="V21" s="376"/>
      <c r="W21" s="375" t="s">
        <v>222</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44405.458333333292</v>
      </c>
      <c r="BZ21" s="387">
        <f ca="1">OFFSET(TblImps[[#This Row],[Servertime]],-1,0)+1/24</f>
        <v>44405.708333333292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44405.499999999956</v>
      </c>
      <c r="M22" s="74">
        <f>IF(ISERROR(TblImps[[#This Row],[algorithm]]),0,TblImps[[#This Row],[algorithm]]*1)</f>
        <v>0</v>
      </c>
      <c r="N22" s="113">
        <f ca="1">TblImps[[#This Row],[Land]]</f>
        <v>250</v>
      </c>
      <c r="O22" s="375" t="s">
        <v>4</v>
      </c>
      <c r="P22" s="376"/>
      <c r="Q22" s="375" t="s">
        <v>222</v>
      </c>
      <c r="R22" s="375" t="s">
        <v>7</v>
      </c>
      <c r="S22" s="376"/>
      <c r="T22" s="375" t="s">
        <v>222</v>
      </c>
      <c r="U22" s="375" t="s">
        <v>3</v>
      </c>
      <c r="V22" s="376"/>
      <c r="W22" s="375" t="s">
        <v>222</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44405.499999999956</v>
      </c>
      <c r="BZ22" s="387">
        <f ca="1">OFFSET(TblImps[[#This Row],[Servertime]],-1,0)+1/24</f>
        <v>44405.749999999956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44405.541666666621</v>
      </c>
      <c r="M23" s="74">
        <f>IF(ISERROR(TblImps[[#This Row],[algorithm]]),0,TblImps[[#This Row],[algorithm]]*1)</f>
        <v>0</v>
      </c>
      <c r="N23" s="113">
        <f ca="1">TblImps[[#This Row],[Land]]</f>
        <v>250</v>
      </c>
      <c r="O23" s="375" t="s">
        <v>4</v>
      </c>
      <c r="P23" s="376"/>
      <c r="Q23" s="375" t="s">
        <v>222</v>
      </c>
      <c r="R23" s="375" t="s">
        <v>7</v>
      </c>
      <c r="S23" s="376"/>
      <c r="T23" s="375" t="s">
        <v>222</v>
      </c>
      <c r="U23" s="375" t="s">
        <v>3</v>
      </c>
      <c r="V23" s="376"/>
      <c r="W23" s="375" t="s">
        <v>222</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44405.541666666621</v>
      </c>
      <c r="BZ23" s="387">
        <f ca="1">OFFSET(TblImps[[#This Row],[Servertime]],-1,0)+1/24</f>
        <v>44405.791666666621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44405.583333333285</v>
      </c>
      <c r="M24" s="74">
        <f>IF(ISERROR(TblImps[[#This Row],[algorithm]]),0,TblImps[[#This Row],[algorithm]]*1)</f>
        <v>0</v>
      </c>
      <c r="N24" s="113">
        <f ca="1">TblImps[[#This Row],[Land]]</f>
        <v>250</v>
      </c>
      <c r="O24" s="375" t="s">
        <v>4</v>
      </c>
      <c r="P24" s="376"/>
      <c r="Q24" s="375" t="s">
        <v>222</v>
      </c>
      <c r="R24" s="375" t="s">
        <v>7</v>
      </c>
      <c r="S24" s="376"/>
      <c r="T24" s="375" t="s">
        <v>222</v>
      </c>
      <c r="U24" s="375" t="s">
        <v>3</v>
      </c>
      <c r="V24" s="376"/>
      <c r="W24" s="375" t="s">
        <v>222</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44405.583333333285</v>
      </c>
      <c r="BZ24" s="387">
        <f ca="1">OFFSET(TblImps[[#This Row],[Servertime]],-1,0)+1/24</f>
        <v>44405.833333333285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44405.624999999949</v>
      </c>
      <c r="M25" s="74">
        <f>IF(ISERROR(TblImps[[#This Row],[algorithm]]),0,TblImps[[#This Row],[algorithm]]*1)</f>
        <v>0</v>
      </c>
      <c r="N25" s="113">
        <f ca="1">TblImps[[#This Row],[Land]]</f>
        <v>250</v>
      </c>
      <c r="O25" s="375" t="s">
        <v>4</v>
      </c>
      <c r="P25" s="376"/>
      <c r="Q25" s="375" t="s">
        <v>222</v>
      </c>
      <c r="R25" s="375" t="s">
        <v>7</v>
      </c>
      <c r="S25" s="376"/>
      <c r="T25" s="375" t="s">
        <v>222</v>
      </c>
      <c r="U25" s="375" t="s">
        <v>3</v>
      </c>
      <c r="V25" s="376"/>
      <c r="W25" s="375" t="s">
        <v>222</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44405.624999999949</v>
      </c>
      <c r="BZ25" s="387">
        <f ca="1">OFFSET(TblImps[[#This Row],[Servertime]],-1,0)+1/24</f>
        <v>44405.874999999949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44405.666666666613</v>
      </c>
      <c r="M26" s="74">
        <f>IF(ISERROR(TblImps[[#This Row],[algorithm]]),0,TblImps[[#This Row],[algorithm]]*1)</f>
        <v>0</v>
      </c>
      <c r="N26" s="113">
        <f ca="1">TblImps[[#This Row],[Land]]</f>
        <v>250</v>
      </c>
      <c r="O26" s="375" t="s">
        <v>4</v>
      </c>
      <c r="P26" s="376"/>
      <c r="Q26" s="375" t="s">
        <v>222</v>
      </c>
      <c r="R26" s="375" t="s">
        <v>7</v>
      </c>
      <c r="S26" s="376"/>
      <c r="T26" s="375" t="s">
        <v>222</v>
      </c>
      <c r="U26" s="375" t="s">
        <v>3</v>
      </c>
      <c r="V26" s="376"/>
      <c r="W26" s="375" t="s">
        <v>222</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44405.666666666613</v>
      </c>
      <c r="BZ26" s="387">
        <f ca="1">OFFSET(TblImps[[#This Row],[Servertime]],-1,0)+1/24</f>
        <v>44405.916666666613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44405.708333333278</v>
      </c>
      <c r="M27" s="74">
        <f>IF(ISERROR(TblImps[[#This Row],[algorithm]]),0,TblImps[[#This Row],[algorithm]]*1)</f>
        <v>0</v>
      </c>
      <c r="N27" s="113">
        <f ca="1">TblImps[[#This Row],[Land]]</f>
        <v>250</v>
      </c>
      <c r="O27" s="375" t="s">
        <v>4</v>
      </c>
      <c r="P27" s="376"/>
      <c r="Q27" s="375" t="s">
        <v>222</v>
      </c>
      <c r="R27" s="375" t="s">
        <v>7</v>
      </c>
      <c r="S27" s="376"/>
      <c r="T27" s="375" t="s">
        <v>222</v>
      </c>
      <c r="U27" s="375" t="s">
        <v>3</v>
      </c>
      <c r="V27" s="376"/>
      <c r="W27" s="375" t="s">
        <v>222</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44405.708333333278</v>
      </c>
      <c r="BZ27" s="387">
        <f ca="1">OFFSET(TblImps[[#This Row],[Servertime]],-1,0)+1/24</f>
        <v>44405.958333333278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44405.749999999942</v>
      </c>
      <c r="M28" s="74">
        <f>IF(ISERROR(TblImps[[#This Row],[algorithm]]),0,TblImps[[#This Row],[algorithm]]*1)</f>
        <v>0</v>
      </c>
      <c r="N28" s="113">
        <f ca="1">TblImps[[#This Row],[Land]]</f>
        <v>250</v>
      </c>
      <c r="O28" s="375" t="s">
        <v>4</v>
      </c>
      <c r="P28" s="376"/>
      <c r="Q28" s="375" t="s">
        <v>222</v>
      </c>
      <c r="R28" s="375" t="s">
        <v>7</v>
      </c>
      <c r="S28" s="376"/>
      <c r="T28" s="375" t="s">
        <v>222</v>
      </c>
      <c r="U28" s="375" t="s">
        <v>3</v>
      </c>
      <c r="V28" s="376"/>
      <c r="W28" s="375" t="s">
        <v>222</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44405.749999999942</v>
      </c>
      <c r="BZ28" s="387">
        <f ca="1">OFFSET(TblImps[[#This Row],[Servertime]],-1,0)+1/24</f>
        <v>44405.999999999942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44405.791666666606</v>
      </c>
      <c r="M29" s="74">
        <f>IF(ISERROR(TblImps[[#This Row],[algorithm]]),0,TblImps[[#This Row],[algorithm]]*1)</f>
        <v>0</v>
      </c>
      <c r="N29" s="113">
        <f ca="1">TblImps[[#This Row],[Land]]</f>
        <v>250</v>
      </c>
      <c r="O29" s="375" t="s">
        <v>4</v>
      </c>
      <c r="P29" s="376"/>
      <c r="Q29" s="375" t="s">
        <v>222</v>
      </c>
      <c r="R29" s="375" t="s">
        <v>7</v>
      </c>
      <c r="S29" s="376"/>
      <c r="T29" s="375" t="s">
        <v>222</v>
      </c>
      <c r="U29" s="375" t="s">
        <v>3</v>
      </c>
      <c r="V29" s="376"/>
      <c r="W29" s="375" t="s">
        <v>222</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44405.791666666606</v>
      </c>
      <c r="BZ29" s="387">
        <f ca="1">OFFSET(TblImps[[#This Row],[Servertime]],-1,0)+1/24</f>
        <v>44406.041666666606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44405.83333333327</v>
      </c>
      <c r="M30" s="74">
        <f>IF(ISERROR(TblImps[[#This Row],[algorithm]]),0,TblImps[[#This Row],[algorithm]]*1)</f>
        <v>0</v>
      </c>
      <c r="N30" s="113">
        <f ca="1">TblImps[[#This Row],[Land]]</f>
        <v>250</v>
      </c>
      <c r="O30" s="375" t="s">
        <v>4</v>
      </c>
      <c r="P30" s="376"/>
      <c r="Q30" s="375" t="s">
        <v>222</v>
      </c>
      <c r="R30" s="375" t="s">
        <v>7</v>
      </c>
      <c r="S30" s="376"/>
      <c r="T30" s="375" t="s">
        <v>222</v>
      </c>
      <c r="U30" s="375" t="s">
        <v>3</v>
      </c>
      <c r="V30" s="376"/>
      <c r="W30" s="375" t="s">
        <v>222</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44405.83333333327</v>
      </c>
      <c r="BZ30" s="387">
        <f ca="1">OFFSET(TblImps[[#This Row],[Servertime]],-1,0)+1/24</f>
        <v>44406.08333333327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44405.874999999935</v>
      </c>
      <c r="M31" s="74">
        <f>IF(ISERROR(TblImps[[#This Row],[algorithm]]),0,TblImps[[#This Row],[algorithm]]*1)</f>
        <v>0</v>
      </c>
      <c r="N31" s="113">
        <f ca="1">TblImps[[#This Row],[Land]]</f>
        <v>250</v>
      </c>
      <c r="O31" s="375" t="s">
        <v>4</v>
      </c>
      <c r="P31" s="376"/>
      <c r="Q31" s="375" t="s">
        <v>222</v>
      </c>
      <c r="R31" s="375" t="s">
        <v>7</v>
      </c>
      <c r="S31" s="376"/>
      <c r="T31" s="375" t="s">
        <v>222</v>
      </c>
      <c r="U31" s="375" t="s">
        <v>3</v>
      </c>
      <c r="V31" s="376"/>
      <c r="W31" s="375" t="s">
        <v>222</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44405.874999999935</v>
      </c>
      <c r="BZ31" s="387">
        <f ca="1">OFFSET(TblImps[[#This Row],[Servertime]],-1,0)+1/24</f>
        <v>44406.124999999935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44405.916666666599</v>
      </c>
      <c r="M32" s="74">
        <f>IF(ISERROR(TblImps[[#This Row],[algorithm]]),0,TblImps[[#This Row],[algorithm]]*1)</f>
        <v>0</v>
      </c>
      <c r="N32" s="113">
        <f ca="1">TblImps[[#This Row],[Land]]</f>
        <v>250</v>
      </c>
      <c r="O32" s="375" t="s">
        <v>4</v>
      </c>
      <c r="P32" s="376"/>
      <c r="Q32" s="375" t="s">
        <v>222</v>
      </c>
      <c r="R32" s="375" t="s">
        <v>7</v>
      </c>
      <c r="S32" s="376"/>
      <c r="T32" s="375" t="s">
        <v>222</v>
      </c>
      <c r="U32" s="375" t="s">
        <v>3</v>
      </c>
      <c r="V32" s="376"/>
      <c r="W32" s="375" t="s">
        <v>222</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44405.916666666599</v>
      </c>
      <c r="BZ32" s="387">
        <f ca="1">OFFSET(TblImps[[#This Row],[Servertime]],-1,0)+1/24</f>
        <v>44406.166666666599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44405.958333333263</v>
      </c>
      <c r="M33" s="74">
        <f>IF(ISERROR(TblImps[[#This Row],[algorithm]]),0,TblImps[[#This Row],[algorithm]]*1)</f>
        <v>0</v>
      </c>
      <c r="N33" s="113">
        <f ca="1">TblImps[[#This Row],[Land]]</f>
        <v>250</v>
      </c>
      <c r="O33" s="375" t="s">
        <v>4</v>
      </c>
      <c r="P33" s="376"/>
      <c r="Q33" s="375" t="s">
        <v>222</v>
      </c>
      <c r="R33" s="375" t="s">
        <v>7</v>
      </c>
      <c r="S33" s="376"/>
      <c r="T33" s="375" t="s">
        <v>222</v>
      </c>
      <c r="U33" s="375" t="s">
        <v>3</v>
      </c>
      <c r="V33" s="376"/>
      <c r="W33" s="375" t="s">
        <v>222</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44405.958333333263</v>
      </c>
      <c r="BZ33" s="387">
        <f ca="1">OFFSET(TblImps[[#This Row],[Servertime]],-1,0)+1/24</f>
        <v>44406.208333333263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44405.999999999927</v>
      </c>
      <c r="M34" s="74">
        <f>IF(ISERROR(TblImps[[#This Row],[algorithm]]),0,TblImps[[#This Row],[algorithm]]*1)</f>
        <v>0</v>
      </c>
      <c r="N34" s="113">
        <f ca="1">TblImps[[#This Row],[Land]]</f>
        <v>250</v>
      </c>
      <c r="O34" s="375" t="s">
        <v>4</v>
      </c>
      <c r="P34" s="376"/>
      <c r="Q34" s="375" t="s">
        <v>222</v>
      </c>
      <c r="R34" s="375" t="s">
        <v>7</v>
      </c>
      <c r="S34" s="376"/>
      <c r="T34" s="375" t="s">
        <v>222</v>
      </c>
      <c r="U34" s="375" t="s">
        <v>3</v>
      </c>
      <c r="V34" s="376"/>
      <c r="W34" s="375" t="s">
        <v>222</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44405.999999999927</v>
      </c>
      <c r="BZ34" s="387">
        <f ca="1">OFFSET(TblImps[[#This Row],[Servertime]],-1,0)+1/24</f>
        <v>44406.249999999927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44406.041666666591</v>
      </c>
      <c r="M35" s="74">
        <f>IF(ISERROR(TblImps[[#This Row],[algorithm]]),0,TblImps[[#This Row],[algorithm]]*1)</f>
        <v>0</v>
      </c>
      <c r="N35" s="113">
        <f ca="1">TblImps[[#This Row],[Land]]</f>
        <v>250</v>
      </c>
      <c r="O35" s="375" t="s">
        <v>4</v>
      </c>
      <c r="P35" s="376"/>
      <c r="Q35" s="375" t="s">
        <v>222</v>
      </c>
      <c r="R35" s="375" t="s">
        <v>7</v>
      </c>
      <c r="S35" s="376"/>
      <c r="T35" s="375" t="s">
        <v>222</v>
      </c>
      <c r="U35" s="375" t="s">
        <v>3</v>
      </c>
      <c r="V35" s="376"/>
      <c r="W35" s="375" t="s">
        <v>222</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44406.041666666591</v>
      </c>
      <c r="BZ35" s="387">
        <f ca="1">OFFSET(TblImps[[#This Row],[Servertime]],-1,0)+1/24</f>
        <v>44406.291666666591</v>
      </c>
      <c r="CA35" s="141"/>
      <c r="CB35" s="385"/>
      <c r="CC35" s="385"/>
      <c r="CD35" s="59" t="s">
        <v>220</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44406.083333333256</v>
      </c>
      <c r="M36" s="74">
        <f>IF(ISERROR(TblImps[[#This Row],[algorithm]]),0,TblImps[[#This Row],[algorithm]]*1)</f>
        <v>0</v>
      </c>
      <c r="N36" s="113">
        <f ca="1">TblImps[[#This Row],[Land]]</f>
        <v>250</v>
      </c>
      <c r="O36" s="375" t="s">
        <v>4</v>
      </c>
      <c r="P36" s="376"/>
      <c r="Q36" s="375" t="s">
        <v>222</v>
      </c>
      <c r="R36" s="375" t="s">
        <v>7</v>
      </c>
      <c r="S36" s="376"/>
      <c r="T36" s="375" t="s">
        <v>222</v>
      </c>
      <c r="U36" s="375" t="s">
        <v>3</v>
      </c>
      <c r="V36" s="376"/>
      <c r="W36" s="375" t="s">
        <v>222</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44406.083333333256</v>
      </c>
      <c r="BZ36" s="387">
        <f ca="1">OFFSET(TblImps[[#This Row],[Servertime]],-1,0)+1/24</f>
        <v>44406.333333333256</v>
      </c>
      <c r="CA36" s="141"/>
      <c r="CB36" s="385"/>
      <c r="CC36" s="385"/>
      <c r="CD36" s="59" t="s">
        <v>222</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44406.12499999992</v>
      </c>
      <c r="M37" s="74">
        <f>IF(ISERROR(TblImps[[#This Row],[algorithm]]),0,TblImps[[#This Row],[algorithm]]*1)</f>
        <v>0</v>
      </c>
      <c r="N37" s="113">
        <f ca="1">TblImps[[#This Row],[Land]]</f>
        <v>250</v>
      </c>
      <c r="O37" s="375" t="s">
        <v>4</v>
      </c>
      <c r="P37" s="376"/>
      <c r="Q37" s="375" t="s">
        <v>222</v>
      </c>
      <c r="R37" s="375" t="s">
        <v>7</v>
      </c>
      <c r="S37" s="376"/>
      <c r="T37" s="375" t="s">
        <v>222</v>
      </c>
      <c r="U37" s="375" t="s">
        <v>3</v>
      </c>
      <c r="V37" s="376"/>
      <c r="W37" s="375" t="s">
        <v>222</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44406.12499999992</v>
      </c>
      <c r="BZ37" s="387">
        <f ca="1">OFFSET(TblImps[[#This Row],[Servertime]],-1,0)+1/24</f>
        <v>44406.37499999992</v>
      </c>
      <c r="CA37" s="141"/>
      <c r="CB37" s="385"/>
      <c r="CC37" s="385"/>
      <c r="CD37" s="59" t="s">
        <v>223</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44406.166666666584</v>
      </c>
      <c r="M38" s="74">
        <f>IF(ISERROR(TblImps[[#This Row],[algorithm]]),0,TblImps[[#This Row],[algorithm]]*1)</f>
        <v>0</v>
      </c>
      <c r="N38" s="113">
        <f ca="1">TblImps[[#This Row],[Land]]</f>
        <v>250</v>
      </c>
      <c r="O38" s="375" t="s">
        <v>4</v>
      </c>
      <c r="P38" s="376"/>
      <c r="Q38" s="375" t="s">
        <v>222</v>
      </c>
      <c r="R38" s="375" t="s">
        <v>7</v>
      </c>
      <c r="S38" s="376"/>
      <c r="T38" s="375" t="s">
        <v>222</v>
      </c>
      <c r="U38" s="375" t="s">
        <v>3</v>
      </c>
      <c r="V38" s="376"/>
      <c r="W38" s="375" t="s">
        <v>222</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44406.166666666584</v>
      </c>
      <c r="BZ38" s="387">
        <f ca="1">OFFSET(TblImps[[#This Row],[Servertime]],-1,0)+1/24</f>
        <v>44406.416666666584</v>
      </c>
      <c r="CA38" s="141"/>
      <c r="CB38" s="385"/>
      <c r="CC38" s="385"/>
      <c r="CD38" s="59" t="s">
        <v>224</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44406.208333333248</v>
      </c>
      <c r="M39" s="74">
        <f>IF(ISERROR(TblImps[[#This Row],[algorithm]]),0,TblImps[[#This Row],[algorithm]]*1)</f>
        <v>0</v>
      </c>
      <c r="N39" s="113">
        <f ca="1">TblImps[[#This Row],[Land]]</f>
        <v>250</v>
      </c>
      <c r="O39" s="375" t="s">
        <v>4</v>
      </c>
      <c r="P39" s="376"/>
      <c r="Q39" s="375" t="s">
        <v>222</v>
      </c>
      <c r="R39" s="375" t="s">
        <v>7</v>
      </c>
      <c r="S39" s="376"/>
      <c r="T39" s="375" t="s">
        <v>222</v>
      </c>
      <c r="U39" s="375" t="s">
        <v>3</v>
      </c>
      <c r="V39" s="376"/>
      <c r="W39" s="375" t="s">
        <v>222</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44406.208333333248</v>
      </c>
      <c r="BZ39" s="387">
        <f ca="1">OFFSET(TblImps[[#This Row],[Servertime]],-1,0)+1/24</f>
        <v>44406.458333333248</v>
      </c>
      <c r="CA39" s="141"/>
      <c r="CB39" s="385"/>
      <c r="CC39" s="385"/>
      <c r="CD39" s="49" t="s">
        <v>225</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44406.249999999913</v>
      </c>
      <c r="M40" s="74">
        <f>IF(ISERROR(TblImps[[#This Row],[algorithm]]),0,TblImps[[#This Row],[algorithm]]*1)</f>
        <v>0</v>
      </c>
      <c r="N40" s="113">
        <f ca="1">TblImps[[#This Row],[Land]]</f>
        <v>250</v>
      </c>
      <c r="O40" s="375" t="s">
        <v>4</v>
      </c>
      <c r="P40" s="376"/>
      <c r="Q40" s="375" t="s">
        <v>222</v>
      </c>
      <c r="R40" s="375" t="s">
        <v>7</v>
      </c>
      <c r="S40" s="376"/>
      <c r="T40" s="375" t="s">
        <v>222</v>
      </c>
      <c r="U40" s="375" t="s">
        <v>3</v>
      </c>
      <c r="V40" s="376"/>
      <c r="W40" s="375" t="s">
        <v>222</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44406.249999999913</v>
      </c>
      <c r="BZ40" s="387">
        <f ca="1">OFFSET(TblImps[[#This Row],[Servertime]],-1,0)+1/24</f>
        <v>44406.499999999913</v>
      </c>
      <c r="CA40" s="141"/>
      <c r="CB40" s="385"/>
      <c r="CC40" s="385"/>
      <c r="CD40" s="49" t="s">
        <v>226</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44406.291666666577</v>
      </c>
      <c r="M41" s="74">
        <f>IF(ISERROR(TblImps[[#This Row],[algorithm]]),0,TblImps[[#This Row],[algorithm]]*1)</f>
        <v>0</v>
      </c>
      <c r="N41" s="113">
        <f ca="1">TblImps[[#This Row],[Land]]</f>
        <v>250</v>
      </c>
      <c r="O41" s="375" t="s">
        <v>4</v>
      </c>
      <c r="P41" s="376"/>
      <c r="Q41" s="375" t="s">
        <v>222</v>
      </c>
      <c r="R41" s="375" t="s">
        <v>7</v>
      </c>
      <c r="S41" s="376"/>
      <c r="T41" s="375" t="s">
        <v>222</v>
      </c>
      <c r="U41" s="375" t="s">
        <v>3</v>
      </c>
      <c r="V41" s="376"/>
      <c r="W41" s="375" t="s">
        <v>222</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44406.291666666577</v>
      </c>
      <c r="BZ41" s="387">
        <f ca="1">OFFSET(TblImps[[#This Row],[Servertime]],-1,0)+1/24</f>
        <v>44406.541666666577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44406.333333333241</v>
      </c>
      <c r="M42" s="74">
        <f>IF(ISERROR(TblImps[[#This Row],[algorithm]]),0,TblImps[[#This Row],[algorithm]]*1)</f>
        <v>0</v>
      </c>
      <c r="N42" s="113">
        <f ca="1">TblImps[[#This Row],[Land]]</f>
        <v>250</v>
      </c>
      <c r="O42" s="375" t="s">
        <v>4</v>
      </c>
      <c r="P42" s="376"/>
      <c r="Q42" s="375" t="s">
        <v>222</v>
      </c>
      <c r="R42" s="375" t="s">
        <v>7</v>
      </c>
      <c r="S42" s="376"/>
      <c r="T42" s="375" t="s">
        <v>222</v>
      </c>
      <c r="U42" s="375" t="s">
        <v>3</v>
      </c>
      <c r="V42" s="376"/>
      <c r="W42" s="375" t="s">
        <v>222</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44406.333333333241</v>
      </c>
      <c r="BZ42" s="387">
        <f ca="1">OFFSET(TblImps[[#This Row],[Servertime]],-1,0)+1/24</f>
        <v>44406.583333333241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44406.374999999905</v>
      </c>
      <c r="M43" s="74">
        <f>IF(ISERROR(TblImps[[#This Row],[algorithm]]),0,TblImps[[#This Row],[algorithm]]*1)</f>
        <v>0</v>
      </c>
      <c r="N43" s="113">
        <f ca="1">TblImps[[#This Row],[Land]]</f>
        <v>250</v>
      </c>
      <c r="O43" s="375" t="s">
        <v>4</v>
      </c>
      <c r="P43" s="376"/>
      <c r="Q43" s="375" t="s">
        <v>222</v>
      </c>
      <c r="R43" s="375" t="s">
        <v>7</v>
      </c>
      <c r="S43" s="376"/>
      <c r="T43" s="375" t="s">
        <v>222</v>
      </c>
      <c r="U43" s="375" t="s">
        <v>3</v>
      </c>
      <c r="V43" s="376"/>
      <c r="W43" s="375" t="s">
        <v>222</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44406.374999999905</v>
      </c>
      <c r="BZ43" s="387">
        <f ca="1">OFFSET(TblImps[[#This Row],[Servertime]],-1,0)+1/24</f>
        <v>44406.624999999905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44406.41666666657</v>
      </c>
      <c r="M44" s="74">
        <f>IF(ISERROR(TblImps[[#This Row],[algorithm]]),0,TblImps[[#This Row],[algorithm]]*1)</f>
        <v>0</v>
      </c>
      <c r="N44" s="113">
        <f ca="1">TblImps[[#This Row],[Land]]</f>
        <v>250</v>
      </c>
      <c r="O44" s="375" t="s">
        <v>4</v>
      </c>
      <c r="P44" s="376"/>
      <c r="Q44" s="375" t="s">
        <v>222</v>
      </c>
      <c r="R44" s="375" t="s">
        <v>7</v>
      </c>
      <c r="S44" s="376"/>
      <c r="T44" s="375" t="s">
        <v>222</v>
      </c>
      <c r="U44" s="375" t="s">
        <v>3</v>
      </c>
      <c r="V44" s="376"/>
      <c r="W44" s="375" t="s">
        <v>222</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44406.41666666657</v>
      </c>
      <c r="BZ44" s="387">
        <f ca="1">OFFSET(TblImps[[#This Row],[Servertime]],-1,0)+1/24</f>
        <v>44406.66666666657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44406.458333333234</v>
      </c>
      <c r="M45" s="74">
        <f>IF(ISERROR(TblImps[[#This Row],[algorithm]]),0,TblImps[[#This Row],[algorithm]]*1)</f>
        <v>0</v>
      </c>
      <c r="N45" s="113">
        <f ca="1">TblImps[[#This Row],[Land]]</f>
        <v>250</v>
      </c>
      <c r="O45" s="375" t="s">
        <v>4</v>
      </c>
      <c r="P45" s="376"/>
      <c r="Q45" s="375" t="s">
        <v>222</v>
      </c>
      <c r="R45" s="375" t="s">
        <v>7</v>
      </c>
      <c r="S45" s="376"/>
      <c r="T45" s="375" t="s">
        <v>222</v>
      </c>
      <c r="U45" s="375" t="s">
        <v>3</v>
      </c>
      <c r="V45" s="376"/>
      <c r="W45" s="375" t="s">
        <v>222</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44406.458333333234</v>
      </c>
      <c r="BZ45" s="387">
        <f ca="1">OFFSET(TblImps[[#This Row],[Servertime]],-1,0)+1/24</f>
        <v>44406.708333333234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44406.499999999898</v>
      </c>
      <c r="M46" s="74">
        <f>IF(ISERROR(TblImps[[#This Row],[algorithm]]),0,TblImps[[#This Row],[algorithm]]*1)</f>
        <v>0</v>
      </c>
      <c r="N46" s="113">
        <f ca="1">TblImps[[#This Row],[Land]]</f>
        <v>250</v>
      </c>
      <c r="O46" s="375" t="s">
        <v>4</v>
      </c>
      <c r="P46" s="376"/>
      <c r="Q46" s="375" t="s">
        <v>222</v>
      </c>
      <c r="R46" s="375" t="s">
        <v>7</v>
      </c>
      <c r="S46" s="376"/>
      <c r="T46" s="375" t="s">
        <v>222</v>
      </c>
      <c r="U46" s="375" t="s">
        <v>3</v>
      </c>
      <c r="V46" s="376"/>
      <c r="W46" s="375" t="s">
        <v>222</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44406.499999999898</v>
      </c>
      <c r="BZ46" s="387">
        <f ca="1">OFFSET(TblImps[[#This Row],[Servertime]],-1,0)+1/24</f>
        <v>44406.749999999898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44406.541666666562</v>
      </c>
      <c r="M47" s="74">
        <f>IF(ISERROR(TblImps[[#This Row],[algorithm]]),0,TblImps[[#This Row],[algorithm]]*1)</f>
        <v>0</v>
      </c>
      <c r="N47" s="113">
        <f ca="1">TblImps[[#This Row],[Land]]</f>
        <v>250</v>
      </c>
      <c r="O47" s="375" t="s">
        <v>4</v>
      </c>
      <c r="P47" s="376"/>
      <c r="Q47" s="375" t="s">
        <v>222</v>
      </c>
      <c r="R47" s="375" t="s">
        <v>7</v>
      </c>
      <c r="S47" s="376"/>
      <c r="T47" s="375" t="s">
        <v>222</v>
      </c>
      <c r="U47" s="375" t="s">
        <v>3</v>
      </c>
      <c r="V47" s="376"/>
      <c r="W47" s="375" t="s">
        <v>222</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44406.541666666562</v>
      </c>
      <c r="BZ47" s="387">
        <f ca="1">OFFSET(TblImps[[#This Row],[Servertime]],-1,0)+1/24</f>
        <v>44406.791666666562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44406.583333333227</v>
      </c>
      <c r="M48" s="74">
        <f>IF(ISERROR(TblImps[[#This Row],[algorithm]]),0,TblImps[[#This Row],[algorithm]]*1)</f>
        <v>0</v>
      </c>
      <c r="N48" s="113">
        <f ca="1">TblImps[[#This Row],[Land]]</f>
        <v>250</v>
      </c>
      <c r="O48" s="375" t="s">
        <v>4</v>
      </c>
      <c r="P48" s="376"/>
      <c r="Q48" s="375" t="s">
        <v>222</v>
      </c>
      <c r="R48" s="375" t="s">
        <v>7</v>
      </c>
      <c r="S48" s="376"/>
      <c r="T48" s="375" t="s">
        <v>222</v>
      </c>
      <c r="U48" s="375" t="s">
        <v>3</v>
      </c>
      <c r="V48" s="376"/>
      <c r="W48" s="375" t="s">
        <v>222</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44406.583333333227</v>
      </c>
      <c r="BZ48" s="387">
        <f ca="1">OFFSET(TblImps[[#This Row],[Servertime]],-1,0)+1/24</f>
        <v>44406.833333333227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44406.624999999891</v>
      </c>
      <c r="M49" s="74">
        <f>IF(ISERROR(TblImps[[#This Row],[algorithm]]),0,TblImps[[#This Row],[algorithm]]*1)</f>
        <v>0</v>
      </c>
      <c r="N49" s="113">
        <f ca="1">TblImps[[#This Row],[Land]]</f>
        <v>250</v>
      </c>
      <c r="O49" s="375" t="s">
        <v>4</v>
      </c>
      <c r="P49" s="376"/>
      <c r="Q49" s="375" t="s">
        <v>222</v>
      </c>
      <c r="R49" s="375" t="s">
        <v>7</v>
      </c>
      <c r="S49" s="376"/>
      <c r="T49" s="375" t="s">
        <v>222</v>
      </c>
      <c r="U49" s="375" t="s">
        <v>3</v>
      </c>
      <c r="V49" s="376"/>
      <c r="W49" s="375" t="s">
        <v>222</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44406.624999999891</v>
      </c>
      <c r="BZ49" s="387">
        <f ca="1">OFFSET(TblImps[[#This Row],[Servertime]],-1,0)+1/24</f>
        <v>44406.874999999891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44406.666666666555</v>
      </c>
      <c r="M50" s="74">
        <f>IF(ISERROR(TblImps[[#This Row],[algorithm]]),0,TblImps[[#This Row],[algorithm]]*1)</f>
        <v>0</v>
      </c>
      <c r="N50" s="113">
        <f ca="1">TblImps[[#This Row],[Land]]</f>
        <v>250</v>
      </c>
      <c r="O50" s="375" t="s">
        <v>4</v>
      </c>
      <c r="P50" s="376"/>
      <c r="Q50" s="375" t="s">
        <v>222</v>
      </c>
      <c r="R50" s="375" t="s">
        <v>7</v>
      </c>
      <c r="S50" s="376"/>
      <c r="T50" s="375" t="s">
        <v>222</v>
      </c>
      <c r="U50" s="375" t="s">
        <v>3</v>
      </c>
      <c r="V50" s="376"/>
      <c r="W50" s="375" t="s">
        <v>222</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44406.666666666555</v>
      </c>
      <c r="BZ50" s="387">
        <f ca="1">OFFSET(TblImps[[#This Row],[Servertime]],-1,0)+1/24</f>
        <v>44406.916666666555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44406.708333333219</v>
      </c>
      <c r="M51" s="74">
        <f>IF(ISERROR(TblImps[[#This Row],[algorithm]]),0,TblImps[[#This Row],[algorithm]]*1)</f>
        <v>0</v>
      </c>
      <c r="N51" s="113">
        <f ca="1">TblImps[[#This Row],[Land]]</f>
        <v>250</v>
      </c>
      <c r="O51" s="375" t="s">
        <v>4</v>
      </c>
      <c r="P51" s="376"/>
      <c r="Q51" s="375" t="s">
        <v>222</v>
      </c>
      <c r="R51" s="375" t="s">
        <v>7</v>
      </c>
      <c r="S51" s="376"/>
      <c r="T51" s="375" t="s">
        <v>222</v>
      </c>
      <c r="U51" s="375" t="s">
        <v>3</v>
      </c>
      <c r="V51" s="376"/>
      <c r="W51" s="375" t="s">
        <v>222</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44406.708333333219</v>
      </c>
      <c r="BZ51" s="387">
        <f ca="1">OFFSET(TblImps[[#This Row],[Servertime]],-1,0)+1/24</f>
        <v>44406.958333333219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44406.749999999884</v>
      </c>
      <c r="M52" s="74">
        <f>IF(ISERROR(TblImps[[#This Row],[algorithm]]),0,TblImps[[#This Row],[algorithm]]*1)</f>
        <v>0</v>
      </c>
      <c r="N52" s="113">
        <f ca="1">TblImps[[#This Row],[Land]]</f>
        <v>250</v>
      </c>
      <c r="O52" s="375" t="s">
        <v>4</v>
      </c>
      <c r="P52" s="376"/>
      <c r="Q52" s="375" t="s">
        <v>222</v>
      </c>
      <c r="R52" s="375" t="s">
        <v>7</v>
      </c>
      <c r="S52" s="376"/>
      <c r="T52" s="375" t="s">
        <v>222</v>
      </c>
      <c r="U52" s="375" t="s">
        <v>3</v>
      </c>
      <c r="V52" s="376"/>
      <c r="W52" s="375" t="s">
        <v>222</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44406.749999999884</v>
      </c>
      <c r="BZ52" s="387">
        <f ca="1">OFFSET(TblImps[[#This Row],[Servertime]],-1,0)+1/24</f>
        <v>44406.999999999884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44406.791666666548</v>
      </c>
      <c r="M53" s="74">
        <f>IF(ISERROR(TblImps[[#This Row],[algorithm]]),0,TblImps[[#This Row],[algorithm]]*1)</f>
        <v>0</v>
      </c>
      <c r="N53" s="113">
        <f ca="1">TblImps[[#This Row],[Land]]</f>
        <v>250</v>
      </c>
      <c r="O53" s="375" t="s">
        <v>4</v>
      </c>
      <c r="P53" s="376"/>
      <c r="Q53" s="375" t="s">
        <v>222</v>
      </c>
      <c r="R53" s="375" t="s">
        <v>7</v>
      </c>
      <c r="S53" s="376"/>
      <c r="T53" s="375" t="s">
        <v>222</v>
      </c>
      <c r="U53" s="375" t="s">
        <v>3</v>
      </c>
      <c r="V53" s="376"/>
      <c r="W53" s="375" t="s">
        <v>222</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44406.791666666548</v>
      </c>
      <c r="BZ53" s="387">
        <f ca="1">OFFSET(TblImps[[#This Row],[Servertime]],-1,0)+1/24</f>
        <v>44407.041666666548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44406.833333333212</v>
      </c>
      <c r="M54" s="74">
        <f>IF(ISERROR(TblImps[[#This Row],[algorithm]]),0,TblImps[[#This Row],[algorithm]]*1)</f>
        <v>0</v>
      </c>
      <c r="N54" s="113">
        <f ca="1">TblImps[[#This Row],[Land]]</f>
        <v>250</v>
      </c>
      <c r="O54" s="375" t="s">
        <v>2</v>
      </c>
      <c r="P54" s="376"/>
      <c r="Q54" s="375" t="s">
        <v>222</v>
      </c>
      <c r="R54" s="375" t="s">
        <v>7</v>
      </c>
      <c r="S54" s="376"/>
      <c r="T54" s="375" t="s">
        <v>222</v>
      </c>
      <c r="U54" s="375" t="s">
        <v>3</v>
      </c>
      <c r="V54" s="376"/>
      <c r="W54" s="375" t="s">
        <v>222</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44406.833333333212</v>
      </c>
      <c r="BZ54" s="387">
        <f ca="1">OFFSET(TblImps[[#This Row],[Servertime]],-1,0)+1/24</f>
        <v>44407.083333333212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44406.874999999876</v>
      </c>
      <c r="M55" s="74">
        <f>IF(ISERROR(TblImps[[#This Row],[algorithm]]),0,TblImps[[#This Row],[algorithm]]*1)</f>
        <v>0</v>
      </c>
      <c r="N55" s="113">
        <f ca="1">TblImps[[#This Row],[Land]]</f>
        <v>250</v>
      </c>
      <c r="O55" s="375" t="s">
        <v>4</v>
      </c>
      <c r="P55" s="376"/>
      <c r="Q55" s="375" t="s">
        <v>222</v>
      </c>
      <c r="R55" s="375" t="s">
        <v>7</v>
      </c>
      <c r="S55" s="376"/>
      <c r="T55" s="375" t="s">
        <v>222</v>
      </c>
      <c r="U55" s="375" t="s">
        <v>3</v>
      </c>
      <c r="V55" s="376"/>
      <c r="W55" s="375" t="s">
        <v>222</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44406.874999999876</v>
      </c>
      <c r="BZ55" s="387">
        <f ca="1">OFFSET(TblImps[[#This Row],[Servertime]],-1,0)+1/24</f>
        <v>44407.124999999876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44406.916666666541</v>
      </c>
      <c r="M56" s="74">
        <f>IF(ISERROR(TblImps[[#This Row],[algorithm]]),0,TblImps[[#This Row],[algorithm]]*1)</f>
        <v>0</v>
      </c>
      <c r="N56" s="113">
        <f ca="1">TblImps[[#This Row],[Land]]</f>
        <v>250</v>
      </c>
      <c r="O56" s="375" t="s">
        <v>4</v>
      </c>
      <c r="P56" s="376"/>
      <c r="Q56" s="375" t="s">
        <v>222</v>
      </c>
      <c r="R56" s="375" t="s">
        <v>7</v>
      </c>
      <c r="S56" s="376"/>
      <c r="T56" s="375" t="s">
        <v>222</v>
      </c>
      <c r="U56" s="375" t="s">
        <v>3</v>
      </c>
      <c r="V56" s="376"/>
      <c r="W56" s="375" t="s">
        <v>222</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44406.916666666541</v>
      </c>
      <c r="BZ56" s="387">
        <f ca="1">OFFSET(TblImps[[#This Row],[Servertime]],-1,0)+1/24</f>
        <v>44407.166666666541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44406.958333333205</v>
      </c>
      <c r="M57" s="74">
        <f>IF(ISERROR(TblImps[[#This Row],[algorithm]]),0,TblImps[[#This Row],[algorithm]]*1)</f>
        <v>0</v>
      </c>
      <c r="N57" s="113">
        <f ca="1">TblImps[[#This Row],[Land]]</f>
        <v>250</v>
      </c>
      <c r="O57" s="375" t="s">
        <v>4</v>
      </c>
      <c r="P57" s="376"/>
      <c r="Q57" s="375" t="s">
        <v>222</v>
      </c>
      <c r="R57" s="375" t="s">
        <v>7</v>
      </c>
      <c r="S57" s="376"/>
      <c r="T57" s="375" t="s">
        <v>222</v>
      </c>
      <c r="U57" s="375" t="s">
        <v>3</v>
      </c>
      <c r="V57" s="376"/>
      <c r="W57" s="375" t="s">
        <v>222</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44406.958333333205</v>
      </c>
      <c r="BZ57" s="387">
        <f ca="1">OFFSET(TblImps[[#This Row],[Servertime]],-1,0)+1/24</f>
        <v>44407.208333333205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44406.999999999869</v>
      </c>
      <c r="M58" s="74">
        <f>IF(ISERROR(TblImps[[#This Row],[algorithm]]),0,TblImps[[#This Row],[algorithm]]*1)</f>
        <v>0</v>
      </c>
      <c r="N58" s="113">
        <f ca="1">TblImps[[#This Row],[Land]]</f>
        <v>250</v>
      </c>
      <c r="O58" s="375" t="s">
        <v>4</v>
      </c>
      <c r="P58" s="376"/>
      <c r="Q58" s="375" t="s">
        <v>222</v>
      </c>
      <c r="R58" s="375" t="s">
        <v>7</v>
      </c>
      <c r="S58" s="376"/>
      <c r="T58" s="375" t="s">
        <v>222</v>
      </c>
      <c r="U58" s="375" t="s">
        <v>3</v>
      </c>
      <c r="V58" s="376"/>
      <c r="W58" s="375" t="s">
        <v>222</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44406.999999999869</v>
      </c>
      <c r="BZ58" s="387">
        <f ca="1">OFFSET(TblImps[[#This Row],[Servertime]],-1,0)+1/24</f>
        <v>44407.249999999869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44407.041666666533</v>
      </c>
      <c r="M59" s="74">
        <f>IF(ISERROR(TblImps[[#This Row],[algorithm]]),0,TblImps[[#This Row],[algorithm]]*1)</f>
        <v>0</v>
      </c>
      <c r="N59" s="113">
        <f ca="1">TblImps[[#This Row],[Land]]</f>
        <v>250</v>
      </c>
      <c r="O59" s="375" t="s">
        <v>4</v>
      </c>
      <c r="P59" s="376"/>
      <c r="Q59" s="375" t="s">
        <v>222</v>
      </c>
      <c r="R59" s="375" t="s">
        <v>7</v>
      </c>
      <c r="S59" s="376"/>
      <c r="T59" s="375" t="s">
        <v>222</v>
      </c>
      <c r="U59" s="375" t="s">
        <v>3</v>
      </c>
      <c r="V59" s="376"/>
      <c r="W59" s="375" t="s">
        <v>222</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44407.041666666533</v>
      </c>
      <c r="BZ59" s="387">
        <f ca="1">OFFSET(TblImps[[#This Row],[Servertime]],-1,0)+1/24</f>
        <v>44407.291666666533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44407.083333333198</v>
      </c>
      <c r="M60" s="74">
        <f>IF(ISERROR(TblImps[[#This Row],[algorithm]]),0,TblImps[[#This Row],[algorithm]]*1)</f>
        <v>0</v>
      </c>
      <c r="N60" s="113">
        <f ca="1">TblImps[[#This Row],[Land]]</f>
        <v>250</v>
      </c>
      <c r="O60" s="375" t="s">
        <v>4</v>
      </c>
      <c r="P60" s="376"/>
      <c r="Q60" s="375" t="s">
        <v>222</v>
      </c>
      <c r="R60" s="375" t="s">
        <v>7</v>
      </c>
      <c r="S60" s="376"/>
      <c r="T60" s="375" t="s">
        <v>222</v>
      </c>
      <c r="U60" s="375" t="s">
        <v>3</v>
      </c>
      <c r="V60" s="376"/>
      <c r="W60" s="375" t="s">
        <v>222</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44407.083333333198</v>
      </c>
      <c r="BZ60" s="387">
        <f ca="1">OFFSET(TblImps[[#This Row],[Servertime]],-1,0)+1/24</f>
        <v>44407.333333333198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44407.124999999862</v>
      </c>
      <c r="M61" s="74">
        <f>IF(ISERROR(TblImps[[#This Row],[algorithm]]),0,TblImps[[#This Row],[algorithm]]*1)</f>
        <v>0</v>
      </c>
      <c r="N61" s="113">
        <f ca="1">TblImps[[#This Row],[Land]]</f>
        <v>250</v>
      </c>
      <c r="O61" s="375" t="s">
        <v>4</v>
      </c>
      <c r="P61" s="376"/>
      <c r="Q61" s="375" t="s">
        <v>222</v>
      </c>
      <c r="R61" s="375" t="s">
        <v>7</v>
      </c>
      <c r="S61" s="376"/>
      <c r="T61" s="375" t="s">
        <v>222</v>
      </c>
      <c r="U61" s="375" t="s">
        <v>3</v>
      </c>
      <c r="V61" s="376"/>
      <c r="W61" s="375" t="s">
        <v>222</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44407.124999999862</v>
      </c>
      <c r="BZ61" s="387">
        <f ca="1">OFFSET(TblImps[[#This Row],[Servertime]],-1,0)+1/24</f>
        <v>44407.374999999862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44407.166666666526</v>
      </c>
      <c r="M62" s="74">
        <f>IF(ISERROR(TblImps[[#This Row],[algorithm]]),0,TblImps[[#This Row],[algorithm]]*1)</f>
        <v>0</v>
      </c>
      <c r="N62" s="113">
        <f ca="1">TblImps[[#This Row],[Land]]</f>
        <v>250</v>
      </c>
      <c r="O62" s="375" t="s">
        <v>4</v>
      </c>
      <c r="P62" s="376"/>
      <c r="Q62" s="375" t="s">
        <v>222</v>
      </c>
      <c r="R62" s="375" t="s">
        <v>7</v>
      </c>
      <c r="S62" s="376"/>
      <c r="T62" s="375" t="s">
        <v>222</v>
      </c>
      <c r="U62" s="375" t="s">
        <v>3</v>
      </c>
      <c r="V62" s="376"/>
      <c r="W62" s="375" t="s">
        <v>222</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44407.166666666526</v>
      </c>
      <c r="BZ62" s="387">
        <f ca="1">OFFSET(TblImps[[#This Row],[Servertime]],-1,0)+1/24</f>
        <v>44407.416666666526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44407.20833333319</v>
      </c>
      <c r="M63" s="74">
        <f>IF(ISERROR(TblImps[[#This Row],[algorithm]]),0,TblImps[[#This Row],[algorithm]]*1)</f>
        <v>0</v>
      </c>
      <c r="N63" s="113">
        <f ca="1">TblImps[[#This Row],[Land]]</f>
        <v>250</v>
      </c>
      <c r="O63" s="375" t="s">
        <v>4</v>
      </c>
      <c r="P63" s="376"/>
      <c r="Q63" s="375" t="s">
        <v>222</v>
      </c>
      <c r="R63" s="375" t="s">
        <v>7</v>
      </c>
      <c r="S63" s="376"/>
      <c r="T63" s="375" t="s">
        <v>222</v>
      </c>
      <c r="U63" s="375" t="s">
        <v>3</v>
      </c>
      <c r="V63" s="376"/>
      <c r="W63" s="375" t="s">
        <v>222</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44407.20833333319</v>
      </c>
      <c r="BZ63" s="387">
        <f ca="1">OFFSET(TblImps[[#This Row],[Servertime]],-1,0)+1/24</f>
        <v>44407.45833333319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44407.249999999854</v>
      </c>
      <c r="M64" s="74">
        <f>IF(ISERROR(TblImps[[#This Row],[algorithm]]),0,TblImps[[#This Row],[algorithm]]*1)</f>
        <v>0</v>
      </c>
      <c r="N64" s="113">
        <f ca="1">TblImps[[#This Row],[Land]]</f>
        <v>250</v>
      </c>
      <c r="O64" s="375" t="s">
        <v>4</v>
      </c>
      <c r="P64" s="376"/>
      <c r="Q64" s="375" t="s">
        <v>222</v>
      </c>
      <c r="R64" s="375" t="s">
        <v>7</v>
      </c>
      <c r="S64" s="376"/>
      <c r="T64" s="375" t="s">
        <v>222</v>
      </c>
      <c r="U64" s="375" t="s">
        <v>3</v>
      </c>
      <c r="V64" s="376"/>
      <c r="W64" s="375" t="s">
        <v>222</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44407.249999999854</v>
      </c>
      <c r="BZ64" s="387">
        <f ca="1">OFFSET(TblImps[[#This Row],[Servertime]],-1,0)+1/24</f>
        <v>44407.499999999854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44407.291666666519</v>
      </c>
      <c r="M65" s="74">
        <f>IF(ISERROR(TblImps[[#This Row],[algorithm]]),0,TblImps[[#This Row],[algorithm]]*1)</f>
        <v>0</v>
      </c>
      <c r="N65" s="113">
        <f ca="1">TblImps[[#This Row],[Land]]</f>
        <v>250</v>
      </c>
      <c r="O65" s="375" t="s">
        <v>4</v>
      </c>
      <c r="P65" s="376"/>
      <c r="Q65" s="375" t="s">
        <v>222</v>
      </c>
      <c r="R65" s="375" t="s">
        <v>7</v>
      </c>
      <c r="S65" s="376"/>
      <c r="T65" s="375" t="s">
        <v>222</v>
      </c>
      <c r="U65" s="375" t="s">
        <v>3</v>
      </c>
      <c r="V65" s="376"/>
      <c r="W65" s="375" t="s">
        <v>222</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44407.291666666519</v>
      </c>
      <c r="BZ65" s="387">
        <f ca="1">OFFSET(TblImps[[#This Row],[Servertime]],-1,0)+1/24</f>
        <v>44407.541666666519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44407.333333333183</v>
      </c>
      <c r="M66" s="74">
        <f>IF(ISERROR(TblImps[[#This Row],[algorithm]]),0,TblImps[[#This Row],[algorithm]]*1)</f>
        <v>0</v>
      </c>
      <c r="N66" s="113">
        <f ca="1">TblImps[[#This Row],[Land]]</f>
        <v>250</v>
      </c>
      <c r="O66" s="375" t="s">
        <v>2</v>
      </c>
      <c r="P66" s="376"/>
      <c r="Q66" s="375" t="s">
        <v>222</v>
      </c>
      <c r="R66" s="375" t="s">
        <v>7</v>
      </c>
      <c r="S66" s="376"/>
      <c r="T66" s="375" t="s">
        <v>222</v>
      </c>
      <c r="U66" s="375" t="s">
        <v>3</v>
      </c>
      <c r="V66" s="376"/>
      <c r="W66" s="375" t="s">
        <v>222</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44407.333333333183</v>
      </c>
      <c r="BZ66" s="387">
        <f ca="1">OFFSET(TblImps[[#This Row],[Servertime]],-1,0)+1/24</f>
        <v>44407.583333333183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44407.374999999847</v>
      </c>
      <c r="M67" s="74">
        <f>IF(ISERROR(TblImps[[#This Row],[algorithm]]),0,TblImps[[#This Row],[algorithm]]*1)</f>
        <v>0</v>
      </c>
      <c r="N67" s="113">
        <f ca="1">TblImps[[#This Row],[Land]]</f>
        <v>250</v>
      </c>
      <c r="O67" s="375" t="s">
        <v>4</v>
      </c>
      <c r="P67" s="376"/>
      <c r="Q67" s="375" t="s">
        <v>222</v>
      </c>
      <c r="R67" s="375" t="s">
        <v>7</v>
      </c>
      <c r="S67" s="376"/>
      <c r="T67" s="375" t="s">
        <v>222</v>
      </c>
      <c r="U67" s="375" t="s">
        <v>3</v>
      </c>
      <c r="V67" s="376"/>
      <c r="W67" s="375" t="s">
        <v>222</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44407.374999999847</v>
      </c>
      <c r="BZ67" s="387">
        <f ca="1">OFFSET(TblImps[[#This Row],[Servertime]],-1,0)+1/24</f>
        <v>44407.624999999847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44407.416666666511</v>
      </c>
      <c r="M68" s="74">
        <f>IF(ISERROR(TblImps[[#This Row],[algorithm]]),0,TblImps[[#This Row],[algorithm]]*1)</f>
        <v>0</v>
      </c>
      <c r="N68" s="113">
        <f ca="1">TblImps[[#This Row],[Land]]</f>
        <v>250</v>
      </c>
      <c r="O68" s="375" t="s">
        <v>4</v>
      </c>
      <c r="P68" s="376"/>
      <c r="Q68" s="375" t="s">
        <v>222</v>
      </c>
      <c r="R68" s="375" t="s">
        <v>7</v>
      </c>
      <c r="S68" s="376"/>
      <c r="T68" s="375" t="s">
        <v>222</v>
      </c>
      <c r="U68" s="375" t="s">
        <v>3</v>
      </c>
      <c r="V68" s="376"/>
      <c r="W68" s="375" t="s">
        <v>222</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44407.416666666511</v>
      </c>
      <c r="BZ68" s="387">
        <f ca="1">OFFSET(TblImps[[#This Row],[Servertime]],-1,0)+1/24</f>
        <v>44407.666666666511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44407.458333333176</v>
      </c>
      <c r="M69" s="74">
        <f>IF(ISERROR(TblImps[[#This Row],[algorithm]]),0,TblImps[[#This Row],[algorithm]]*1)</f>
        <v>0</v>
      </c>
      <c r="N69" s="113">
        <f ca="1">TblImps[[#This Row],[Land]]</f>
        <v>250</v>
      </c>
      <c r="O69" s="375" t="s">
        <v>4</v>
      </c>
      <c r="P69" s="376"/>
      <c r="Q69" s="375" t="s">
        <v>222</v>
      </c>
      <c r="R69" s="375" t="s">
        <v>7</v>
      </c>
      <c r="S69" s="376"/>
      <c r="T69" s="375" t="s">
        <v>222</v>
      </c>
      <c r="U69" s="375" t="s">
        <v>3</v>
      </c>
      <c r="V69" s="376"/>
      <c r="W69" s="375" t="s">
        <v>222</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44407.458333333176</v>
      </c>
      <c r="BZ69" s="387">
        <f ca="1">OFFSET(TblImps[[#This Row],[Servertime]],-1,0)+1/24</f>
        <v>44407.708333333176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44407.49999999984</v>
      </c>
      <c r="M70" s="74">
        <f>IF(ISERROR(TblImps[[#This Row],[algorithm]]),0,TblImps[[#This Row],[algorithm]]*1)</f>
        <v>0</v>
      </c>
      <c r="N70" s="113">
        <f ca="1">TblImps[[#This Row],[Land]]</f>
        <v>250</v>
      </c>
      <c r="O70" s="375" t="s">
        <v>4</v>
      </c>
      <c r="P70" s="376"/>
      <c r="Q70" s="375" t="s">
        <v>222</v>
      </c>
      <c r="R70" s="375" t="s">
        <v>7</v>
      </c>
      <c r="S70" s="376"/>
      <c r="T70" s="375" t="s">
        <v>222</v>
      </c>
      <c r="U70" s="375" t="s">
        <v>3</v>
      </c>
      <c r="V70" s="376"/>
      <c r="W70" s="375" t="s">
        <v>222</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44407.49999999984</v>
      </c>
      <c r="BZ70" s="387">
        <f ca="1">OFFSET(TblImps[[#This Row],[Servertime]],-1,0)+1/24</f>
        <v>44407.74999999984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44407.541666666504</v>
      </c>
      <c r="M71" s="74">
        <f>IF(ISERROR(TblImps[[#This Row],[algorithm]]),0,TblImps[[#This Row],[algorithm]]*1)</f>
        <v>0</v>
      </c>
      <c r="N71" s="113">
        <f ca="1">TblImps[[#This Row],[Land]]</f>
        <v>250</v>
      </c>
      <c r="O71" s="375" t="s">
        <v>4</v>
      </c>
      <c r="P71" s="376"/>
      <c r="Q71" s="375" t="s">
        <v>222</v>
      </c>
      <c r="R71" s="375" t="s">
        <v>7</v>
      </c>
      <c r="S71" s="376"/>
      <c r="T71" s="375" t="s">
        <v>222</v>
      </c>
      <c r="U71" s="375" t="s">
        <v>3</v>
      </c>
      <c r="V71" s="376"/>
      <c r="W71" s="375" t="s">
        <v>222</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44407.541666666504</v>
      </c>
      <c r="BZ71" s="387">
        <f ca="1">OFFSET(TblImps[[#This Row],[Servertime]],-1,0)+1/24</f>
        <v>44407.791666666504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44407.583333333168</v>
      </c>
      <c r="M72" s="74">
        <f>IF(ISERROR(TblImps[[#This Row],[algorithm]]),0,TblImps[[#This Row],[algorithm]]*1)</f>
        <v>0</v>
      </c>
      <c r="N72" s="113">
        <f ca="1">TblImps[[#This Row],[Land]]</f>
        <v>250</v>
      </c>
      <c r="O72" s="375" t="s">
        <v>4</v>
      </c>
      <c r="P72" s="376"/>
      <c r="Q72" s="375" t="s">
        <v>222</v>
      </c>
      <c r="R72" s="375" t="s">
        <v>7</v>
      </c>
      <c r="S72" s="376"/>
      <c r="T72" s="375" t="s">
        <v>222</v>
      </c>
      <c r="U72" s="375" t="s">
        <v>3</v>
      </c>
      <c r="V72" s="376"/>
      <c r="W72" s="375" t="s">
        <v>222</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44407.583333333168</v>
      </c>
      <c r="BZ72" s="387">
        <f ca="1">OFFSET(TblImps[[#This Row],[Servertime]],-1,0)+1/24</f>
        <v>44407.833333333168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44407.624999999833</v>
      </c>
      <c r="M73" s="74">
        <f>IF(ISERROR(TblImps[[#This Row],[algorithm]]),0,TblImps[[#This Row],[algorithm]]*1)</f>
        <v>0</v>
      </c>
      <c r="N73" s="113">
        <f ca="1">TblImps[[#This Row],[Land]]</f>
        <v>250</v>
      </c>
      <c r="O73" s="375" t="s">
        <v>4</v>
      </c>
      <c r="P73" s="376"/>
      <c r="Q73" s="375" t="s">
        <v>222</v>
      </c>
      <c r="R73" s="375" t="s">
        <v>7</v>
      </c>
      <c r="S73" s="376"/>
      <c r="T73" s="375" t="s">
        <v>222</v>
      </c>
      <c r="U73" s="375" t="s">
        <v>3</v>
      </c>
      <c r="V73" s="376"/>
      <c r="W73" s="375" t="s">
        <v>222</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44407.624999999833</v>
      </c>
      <c r="BZ73" s="387">
        <f ca="1">OFFSET(TblImps[[#This Row],[Servertime]],-1,0)+1/24</f>
        <v>44407.874999999833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44407.666666666497</v>
      </c>
      <c r="M74" s="74">
        <f>IF(ISERROR(TblImps[[#This Row],[algorithm]]),0,TblImps[[#This Row],[algorithm]]*1)</f>
        <v>0</v>
      </c>
      <c r="N74" s="113">
        <f ca="1">TblImps[[#This Row],[Land]]</f>
        <v>250</v>
      </c>
      <c r="O74" s="375" t="s">
        <v>4</v>
      </c>
      <c r="P74" s="376"/>
      <c r="Q74" s="375" t="s">
        <v>222</v>
      </c>
      <c r="R74" s="375" t="s">
        <v>7</v>
      </c>
      <c r="S74" s="376"/>
      <c r="T74" s="375" t="s">
        <v>222</v>
      </c>
      <c r="U74" s="375" t="s">
        <v>3</v>
      </c>
      <c r="V74" s="376"/>
      <c r="W74" s="375" t="s">
        <v>222</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44407.666666666497</v>
      </c>
      <c r="BZ74" s="387">
        <f ca="1">OFFSET(TblImps[[#This Row],[Servertime]],-1,0)+1/24</f>
        <v>44407.916666666497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44407.708333333161</v>
      </c>
      <c r="M75" s="74">
        <f>IF(ISERROR(TblImps[[#This Row],[algorithm]]),0,TblImps[[#This Row],[algorithm]]*1)</f>
        <v>0</v>
      </c>
      <c r="N75" s="113">
        <f ca="1">TblImps[[#This Row],[Land]]</f>
        <v>250</v>
      </c>
      <c r="O75" s="375" t="s">
        <v>4</v>
      </c>
      <c r="P75" s="376"/>
      <c r="Q75" s="375" t="s">
        <v>222</v>
      </c>
      <c r="R75" s="375" t="s">
        <v>7</v>
      </c>
      <c r="S75" s="376"/>
      <c r="T75" s="375" t="s">
        <v>222</v>
      </c>
      <c r="U75" s="375" t="s">
        <v>3</v>
      </c>
      <c r="V75" s="376"/>
      <c r="W75" s="375" t="s">
        <v>222</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44407.708333333161</v>
      </c>
      <c r="BZ75" s="387">
        <f ca="1">OFFSET(TblImps[[#This Row],[Servertime]],-1,0)+1/24</f>
        <v>44407.958333333161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44407.749999999825</v>
      </c>
      <c r="M76" s="252">
        <f>IF(ISERROR(TblImps[[#This Row],[algorithm]]),0,TblImps[[#This Row],[algorithm]]*1)</f>
        <v>0</v>
      </c>
      <c r="N76" s="262">
        <f ca="1">TblImps[[#This Row],[Land]]</f>
        <v>250</v>
      </c>
      <c r="O76" s="393" t="s">
        <v>4</v>
      </c>
      <c r="P76" s="394"/>
      <c r="Q76" s="393" t="s">
        <v>222</v>
      </c>
      <c r="R76" s="375" t="s">
        <v>7</v>
      </c>
      <c r="S76" s="394"/>
      <c r="T76" s="393" t="s">
        <v>222</v>
      </c>
      <c r="U76" s="393" t="s">
        <v>3</v>
      </c>
      <c r="V76" s="394"/>
      <c r="W76" s="393" t="s">
        <v>222</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44407.749999999825</v>
      </c>
      <c r="BZ76" s="399">
        <f ca="1">OFFSET(TblImps[[#This Row],[Servertime]],-1,0)+1/24</f>
        <v>44407.999999999825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44407.79166666649</v>
      </c>
      <c r="M77" s="74">
        <f>IF(ISERROR(TblImps[[#This Row],[algorithm]]),0,TblImps[[#This Row],[algorithm]]*1)</f>
        <v>0</v>
      </c>
      <c r="N77" s="113">
        <f ca="1">TblImps[[#This Row],[Land]]</f>
        <v>250</v>
      </c>
      <c r="O77" s="375" t="s">
        <v>4</v>
      </c>
      <c r="P77" s="376"/>
      <c r="Q77" s="375" t="s">
        <v>222</v>
      </c>
      <c r="R77" s="375" t="s">
        <v>7</v>
      </c>
      <c r="S77" s="376"/>
      <c r="T77" s="375" t="s">
        <v>222</v>
      </c>
      <c r="U77" s="375" t="s">
        <v>3</v>
      </c>
      <c r="V77" s="376"/>
      <c r="W77" s="375" t="s">
        <v>222</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44407.79166666649</v>
      </c>
      <c r="BZ77" s="387">
        <f ca="1">OFFSET(TblImps[[#This Row],[Servertime]],-1,0)+1/24</f>
        <v>44408.04166666649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44407.833333333154</v>
      </c>
      <c r="M78" s="74">
        <f>IF(ISERROR(TblImps[[#This Row],[algorithm]]),0,TblImps[[#This Row],[algorithm]]*1)</f>
        <v>0</v>
      </c>
      <c r="N78" s="113">
        <f ca="1">TblImps[[#This Row],[Land]]</f>
        <v>250</v>
      </c>
      <c r="O78" s="375" t="s">
        <v>4</v>
      </c>
      <c r="P78" s="376"/>
      <c r="Q78" s="375" t="s">
        <v>222</v>
      </c>
      <c r="R78" s="375" t="s">
        <v>7</v>
      </c>
      <c r="S78" s="376"/>
      <c r="T78" s="375" t="s">
        <v>222</v>
      </c>
      <c r="U78" s="375" t="s">
        <v>3</v>
      </c>
      <c r="V78" s="376"/>
      <c r="W78" s="375" t="s">
        <v>222</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44407.833333333154</v>
      </c>
      <c r="BZ78" s="387">
        <f ca="1">OFFSET(TblImps[[#This Row],[Servertime]],-1,0)+1/24</f>
        <v>44408.083333333154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44407.874999999818</v>
      </c>
      <c r="M79" s="74">
        <f>IF(ISERROR(TblImps[[#This Row],[algorithm]]),0,TblImps[[#This Row],[algorithm]]*1)</f>
        <v>0</v>
      </c>
      <c r="N79" s="113">
        <f ca="1">TblImps[[#This Row],[Land]]</f>
        <v>250</v>
      </c>
      <c r="O79" s="375" t="s">
        <v>4</v>
      </c>
      <c r="P79" s="376"/>
      <c r="Q79" s="375" t="s">
        <v>222</v>
      </c>
      <c r="R79" s="375" t="s">
        <v>7</v>
      </c>
      <c r="S79" s="376"/>
      <c r="T79" s="375" t="s">
        <v>222</v>
      </c>
      <c r="U79" s="375" t="s">
        <v>3</v>
      </c>
      <c r="V79" s="376"/>
      <c r="W79" s="375" t="s">
        <v>222</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44407.874999999818</v>
      </c>
      <c r="BZ79" s="387">
        <f ca="1">OFFSET(TblImps[[#This Row],[Servertime]],-1,0)+1/24</f>
        <v>44408.124999999818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44407.916666666482</v>
      </c>
      <c r="M80" s="74">
        <f>IF(ISERROR(TblImps[[#This Row],[algorithm]]),0,TblImps[[#This Row],[algorithm]]*1)</f>
        <v>0</v>
      </c>
      <c r="N80" s="113">
        <f ca="1">TblImps[[#This Row],[Land]]</f>
        <v>250</v>
      </c>
      <c r="O80" s="375" t="s">
        <v>4</v>
      </c>
      <c r="P80" s="376"/>
      <c r="Q80" s="375" t="s">
        <v>222</v>
      </c>
      <c r="R80" s="375" t="s">
        <v>7</v>
      </c>
      <c r="S80" s="376"/>
      <c r="T80" s="375" t="s">
        <v>222</v>
      </c>
      <c r="U80" s="375" t="s">
        <v>3</v>
      </c>
      <c r="V80" s="376"/>
      <c r="W80" s="375" t="s">
        <v>222</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44407.916666666482</v>
      </c>
      <c r="BZ80" s="387">
        <f ca="1">OFFSET(TblImps[[#This Row],[Servertime]],-1,0)+1/24</f>
        <v>44408.166666666482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44407.958333333147</v>
      </c>
      <c r="M81" s="74">
        <f>IF(ISERROR(TblImps[[#This Row],[algorithm]]),0,TblImps[[#This Row],[algorithm]]*1)</f>
        <v>0</v>
      </c>
      <c r="N81" s="113">
        <f ca="1">TblImps[[#This Row],[Land]]</f>
        <v>250</v>
      </c>
      <c r="O81" s="375" t="s">
        <v>4</v>
      </c>
      <c r="P81" s="376"/>
      <c r="Q81" s="375" t="s">
        <v>222</v>
      </c>
      <c r="R81" s="375" t="s">
        <v>7</v>
      </c>
      <c r="S81" s="376"/>
      <c r="T81" s="375" t="s">
        <v>222</v>
      </c>
      <c r="U81" s="375" t="s">
        <v>3</v>
      </c>
      <c r="V81" s="376"/>
      <c r="W81" s="375" t="s">
        <v>222</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44407.958333333147</v>
      </c>
      <c r="BZ81" s="387">
        <f ca="1">OFFSET(TblImps[[#This Row],[Servertime]],-1,0)+1/24</f>
        <v>44408.208333333147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44407.999999999811</v>
      </c>
      <c r="M82" s="74">
        <f>IF(ISERROR(TblImps[[#This Row],[algorithm]]),0,TblImps[[#This Row],[algorithm]]*1)</f>
        <v>0</v>
      </c>
      <c r="N82" s="113">
        <f ca="1">TblImps[[#This Row],[Land]]</f>
        <v>250</v>
      </c>
      <c r="O82" s="375" t="s">
        <v>4</v>
      </c>
      <c r="P82" s="376"/>
      <c r="Q82" s="375" t="s">
        <v>222</v>
      </c>
      <c r="R82" s="375" t="s">
        <v>7</v>
      </c>
      <c r="S82" s="376"/>
      <c r="T82" s="375" t="s">
        <v>222</v>
      </c>
      <c r="U82" s="375" t="s">
        <v>3</v>
      </c>
      <c r="V82" s="376"/>
      <c r="W82" s="375" t="s">
        <v>222</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44407.999999999811</v>
      </c>
      <c r="BZ82" s="387">
        <f ca="1">OFFSET(TblImps[[#This Row],[Servertime]],-1,0)+1/24</f>
        <v>44408.249999999811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44408.041666666475</v>
      </c>
      <c r="M83" s="74">
        <f>IF(ISERROR(TblImps[[#This Row],[algorithm]]),0,TblImps[[#This Row],[algorithm]]*1)</f>
        <v>0</v>
      </c>
      <c r="N83" s="113">
        <f ca="1">TblImps[[#This Row],[Land]]</f>
        <v>250</v>
      </c>
      <c r="O83" s="375" t="s">
        <v>4</v>
      </c>
      <c r="P83" s="376"/>
      <c r="Q83" s="375" t="s">
        <v>222</v>
      </c>
      <c r="R83" s="375" t="s">
        <v>7</v>
      </c>
      <c r="S83" s="376"/>
      <c r="T83" s="375" t="s">
        <v>222</v>
      </c>
      <c r="U83" s="375" t="s">
        <v>3</v>
      </c>
      <c r="V83" s="376"/>
      <c r="W83" s="375" t="s">
        <v>222</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44408.041666666475</v>
      </c>
      <c r="BZ83" s="387">
        <f ca="1">OFFSET(TblImps[[#This Row],[Servertime]],-1,0)+1/24</f>
        <v>44408.291666666475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44408.083333333139</v>
      </c>
      <c r="M84" s="74">
        <f>IF(ISERROR(TblImps[[#This Row],[algorithm]]),0,TblImps[[#This Row],[algorithm]]*1)</f>
        <v>0</v>
      </c>
      <c r="N84" s="113">
        <f ca="1">TblImps[[#This Row],[Land]]</f>
        <v>250</v>
      </c>
      <c r="O84" s="375" t="s">
        <v>4</v>
      </c>
      <c r="P84" s="376"/>
      <c r="Q84" s="375" t="s">
        <v>222</v>
      </c>
      <c r="R84" s="375" t="s">
        <v>7</v>
      </c>
      <c r="S84" s="376"/>
      <c r="T84" s="375" t="s">
        <v>222</v>
      </c>
      <c r="U84" s="375" t="s">
        <v>3</v>
      </c>
      <c r="V84" s="376"/>
      <c r="W84" s="375" t="s">
        <v>222</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44408.083333333139</v>
      </c>
      <c r="BZ84" s="387">
        <f ca="1">OFFSET(TblImps[[#This Row],[Servertime]],-1,0)+1/24</f>
        <v>44408.333333333139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44408.124999999804</v>
      </c>
      <c r="M85" s="74">
        <f>IF(ISERROR(TblImps[[#This Row],[algorithm]]),0,TblImps[[#This Row],[algorithm]]*1)</f>
        <v>0</v>
      </c>
      <c r="N85" s="113">
        <f ca="1">TblImps[[#This Row],[Land]]</f>
        <v>250</v>
      </c>
      <c r="O85" s="375" t="s">
        <v>4</v>
      </c>
      <c r="P85" s="376"/>
      <c r="Q85" s="375" t="s">
        <v>222</v>
      </c>
      <c r="R85" s="375" t="s">
        <v>7</v>
      </c>
      <c r="S85" s="376"/>
      <c r="T85" s="375" t="s">
        <v>222</v>
      </c>
      <c r="U85" s="375" t="s">
        <v>3</v>
      </c>
      <c r="V85" s="376"/>
      <c r="W85" s="375" t="s">
        <v>222</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44408.124999999804</v>
      </c>
      <c r="BZ85" s="387">
        <f ca="1">OFFSET(TblImps[[#This Row],[Servertime]],-1,0)+1/24</f>
        <v>44408.374999999804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44408.166666666468</v>
      </c>
      <c r="M86" s="74">
        <f>IF(ISERROR(TblImps[[#This Row],[algorithm]]),0,TblImps[[#This Row],[algorithm]]*1)</f>
        <v>0</v>
      </c>
      <c r="N86" s="113">
        <f ca="1">TblImps[[#This Row],[Land]]</f>
        <v>250</v>
      </c>
      <c r="O86" s="375" t="s">
        <v>4</v>
      </c>
      <c r="P86" s="376"/>
      <c r="Q86" s="375" t="s">
        <v>222</v>
      </c>
      <c r="R86" s="375" t="s">
        <v>7</v>
      </c>
      <c r="S86" s="376"/>
      <c r="T86" s="375" t="s">
        <v>222</v>
      </c>
      <c r="U86" s="375" t="s">
        <v>3</v>
      </c>
      <c r="V86" s="376"/>
      <c r="W86" s="375" t="s">
        <v>222</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44408.166666666468</v>
      </c>
      <c r="BZ86" s="387">
        <f ca="1">OFFSET(TblImps[[#This Row],[Servertime]],-1,0)+1/24</f>
        <v>44408.416666666468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44408.208333333132</v>
      </c>
      <c r="M87" s="74">
        <f>IF(ISERROR(TblImps[[#This Row],[algorithm]]),0,TblImps[[#This Row],[algorithm]]*1)</f>
        <v>0</v>
      </c>
      <c r="N87" s="113">
        <f ca="1">TblImps[[#This Row],[Land]]</f>
        <v>250</v>
      </c>
      <c r="O87" s="375" t="s">
        <v>4</v>
      </c>
      <c r="P87" s="376"/>
      <c r="Q87" s="375" t="s">
        <v>222</v>
      </c>
      <c r="R87" s="375" t="s">
        <v>7</v>
      </c>
      <c r="S87" s="376"/>
      <c r="T87" s="375" t="s">
        <v>222</v>
      </c>
      <c r="U87" s="375" t="s">
        <v>3</v>
      </c>
      <c r="V87" s="376"/>
      <c r="W87" s="375" t="s">
        <v>222</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44408.208333333132</v>
      </c>
      <c r="BZ87" s="387">
        <f ca="1">OFFSET(TblImps[[#This Row],[Servertime]],-1,0)+1/24</f>
        <v>44408.458333333132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44408.249999999796</v>
      </c>
      <c r="M88" s="74">
        <f>IF(ISERROR(TblImps[[#This Row],[algorithm]]),0,TblImps[[#This Row],[algorithm]]*1)</f>
        <v>0</v>
      </c>
      <c r="N88" s="113">
        <f ca="1">TblImps[[#This Row],[Land]]</f>
        <v>250</v>
      </c>
      <c r="O88" s="375" t="s">
        <v>4</v>
      </c>
      <c r="P88" s="376"/>
      <c r="Q88" s="375" t="s">
        <v>222</v>
      </c>
      <c r="R88" s="375" t="s">
        <v>7</v>
      </c>
      <c r="S88" s="376"/>
      <c r="T88" s="375" t="s">
        <v>222</v>
      </c>
      <c r="U88" s="375" t="s">
        <v>3</v>
      </c>
      <c r="V88" s="376"/>
      <c r="W88" s="375" t="s">
        <v>222</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44408.249999999796</v>
      </c>
      <c r="BZ88" s="387">
        <f ca="1">OFFSET(TblImps[[#This Row],[Servertime]],-1,0)+1/24</f>
        <v>44408.499999999796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44408.291666666461</v>
      </c>
      <c r="M89" s="74">
        <f>IF(ISERROR(TblImps[[#This Row],[algorithm]]),0,TblImps[[#This Row],[algorithm]]*1)</f>
        <v>0</v>
      </c>
      <c r="N89" s="113">
        <f ca="1">TblImps[[#This Row],[Land]]</f>
        <v>250</v>
      </c>
      <c r="O89" s="375" t="s">
        <v>2</v>
      </c>
      <c r="P89" s="376"/>
      <c r="Q89" s="375" t="s">
        <v>222</v>
      </c>
      <c r="R89" s="375" t="s">
        <v>7</v>
      </c>
      <c r="S89" s="376"/>
      <c r="T89" s="375" t="s">
        <v>222</v>
      </c>
      <c r="U89" s="375" t="s">
        <v>3</v>
      </c>
      <c r="V89" s="376"/>
      <c r="W89" s="375" t="s">
        <v>222</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44408.291666666461</v>
      </c>
      <c r="BZ89" s="387">
        <f ca="1">OFFSET(TblImps[[#This Row],[Servertime]],-1,0)+1/24</f>
        <v>44408.541666666461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44408.333333333125</v>
      </c>
      <c r="M90" s="74">
        <f>IF(ISERROR(TblImps[[#This Row],[algorithm]]),0,TblImps[[#This Row],[algorithm]]*1)</f>
        <v>0</v>
      </c>
      <c r="N90" s="113">
        <f ca="1">TblImps[[#This Row],[Land]]</f>
        <v>250</v>
      </c>
      <c r="O90" s="375" t="s">
        <v>4</v>
      </c>
      <c r="P90" s="376"/>
      <c r="Q90" s="375" t="s">
        <v>222</v>
      </c>
      <c r="R90" s="375" t="s">
        <v>7</v>
      </c>
      <c r="S90" s="376"/>
      <c r="T90" s="375" t="s">
        <v>222</v>
      </c>
      <c r="U90" s="375" t="s">
        <v>3</v>
      </c>
      <c r="V90" s="376"/>
      <c r="W90" s="375" t="s">
        <v>222</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44408.333333333125</v>
      </c>
      <c r="BZ90" s="387">
        <f ca="1">OFFSET(TblImps[[#This Row],[Servertime]],-1,0)+1/24</f>
        <v>44408.583333333125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44408.374999999789</v>
      </c>
      <c r="M91" s="74">
        <f>IF(ISERROR(TblImps[[#This Row],[algorithm]]),0,TblImps[[#This Row],[algorithm]]*1)</f>
        <v>0</v>
      </c>
      <c r="N91" s="113">
        <f ca="1">TblImps[[#This Row],[Land]]</f>
        <v>250</v>
      </c>
      <c r="O91" s="375" t="s">
        <v>4</v>
      </c>
      <c r="P91" s="376"/>
      <c r="Q91" s="375" t="s">
        <v>222</v>
      </c>
      <c r="R91" s="375" t="s">
        <v>7</v>
      </c>
      <c r="S91" s="376"/>
      <c r="T91" s="375" t="s">
        <v>222</v>
      </c>
      <c r="U91" s="375" t="s">
        <v>3</v>
      </c>
      <c r="V91" s="376"/>
      <c r="W91" s="375" t="s">
        <v>222</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44408.374999999789</v>
      </c>
      <c r="BZ91" s="387">
        <f ca="1">OFFSET(TblImps[[#This Row],[Servertime]],-1,0)+1/24</f>
        <v>44408.624999999789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44408.416666666453</v>
      </c>
      <c r="M92" s="74">
        <f>IF(ISERROR(TblImps[[#This Row],[algorithm]]),0,TblImps[[#This Row],[algorithm]]*1)</f>
        <v>0</v>
      </c>
      <c r="N92" s="113">
        <f ca="1">TblImps[[#This Row],[Land]]</f>
        <v>250</v>
      </c>
      <c r="O92" s="375" t="s">
        <v>4</v>
      </c>
      <c r="P92" s="376"/>
      <c r="Q92" s="375" t="s">
        <v>222</v>
      </c>
      <c r="R92" s="375" t="s">
        <v>7</v>
      </c>
      <c r="S92" s="376"/>
      <c r="T92" s="375" t="s">
        <v>222</v>
      </c>
      <c r="U92" s="375" t="s">
        <v>3</v>
      </c>
      <c r="V92" s="376"/>
      <c r="W92" s="375" t="s">
        <v>222</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44408.416666666453</v>
      </c>
      <c r="BZ92" s="387">
        <f ca="1">OFFSET(TblImps[[#This Row],[Servertime]],-1,0)+1/24</f>
        <v>44408.666666666453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44408.458333333117</v>
      </c>
      <c r="M93" s="74">
        <f>IF(ISERROR(TblImps[[#This Row],[algorithm]]),0,TblImps[[#This Row],[algorithm]]*1)</f>
        <v>0</v>
      </c>
      <c r="N93" s="113">
        <f ca="1">TblImps[[#This Row],[Land]]</f>
        <v>250</v>
      </c>
      <c r="O93" s="375" t="s">
        <v>4</v>
      </c>
      <c r="P93" s="376"/>
      <c r="Q93" s="375" t="s">
        <v>222</v>
      </c>
      <c r="R93" s="375" t="s">
        <v>7</v>
      </c>
      <c r="S93" s="376"/>
      <c r="T93" s="375" t="s">
        <v>222</v>
      </c>
      <c r="U93" s="375" t="s">
        <v>3</v>
      </c>
      <c r="V93" s="376"/>
      <c r="W93" s="375" t="s">
        <v>222</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44408.458333333117</v>
      </c>
      <c r="BZ93" s="387">
        <f ca="1">OFFSET(TblImps[[#This Row],[Servertime]],-1,0)+1/24</f>
        <v>44408.708333333117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44408.499999999782</v>
      </c>
      <c r="M94" s="74">
        <f>IF(ISERROR(TblImps[[#This Row],[algorithm]]),0,TblImps[[#This Row],[algorithm]]*1)</f>
        <v>0</v>
      </c>
      <c r="N94" s="113">
        <f ca="1">TblImps[[#This Row],[Land]]</f>
        <v>250</v>
      </c>
      <c r="O94" s="375" t="s">
        <v>4</v>
      </c>
      <c r="P94" s="376"/>
      <c r="Q94" s="375" t="s">
        <v>222</v>
      </c>
      <c r="R94" s="375" t="s">
        <v>7</v>
      </c>
      <c r="S94" s="376"/>
      <c r="T94" s="375" t="s">
        <v>222</v>
      </c>
      <c r="U94" s="375" t="s">
        <v>3</v>
      </c>
      <c r="V94" s="376"/>
      <c r="W94" s="375" t="s">
        <v>222</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44408.499999999782</v>
      </c>
      <c r="BZ94" s="387">
        <f ca="1">OFFSET(TblImps[[#This Row],[Servertime]],-1,0)+1/24</f>
        <v>44408.749999999782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44408.541666666446</v>
      </c>
      <c r="M95" s="74">
        <f>IF(ISERROR(TblImps[[#This Row],[algorithm]]),0,TblImps[[#This Row],[algorithm]]*1)</f>
        <v>0</v>
      </c>
      <c r="N95" s="113">
        <f ca="1">TblImps[[#This Row],[Land]]</f>
        <v>250</v>
      </c>
      <c r="O95" s="375" t="s">
        <v>4</v>
      </c>
      <c r="P95" s="376"/>
      <c r="Q95" s="375" t="s">
        <v>222</v>
      </c>
      <c r="R95" s="375" t="s">
        <v>7</v>
      </c>
      <c r="S95" s="376"/>
      <c r="T95" s="375" t="s">
        <v>222</v>
      </c>
      <c r="U95" s="375" t="s">
        <v>3</v>
      </c>
      <c r="V95" s="376"/>
      <c r="W95" s="375" t="s">
        <v>222</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44408.541666666446</v>
      </c>
      <c r="BZ95" s="387">
        <f ca="1">OFFSET(TblImps[[#This Row],[Servertime]],-1,0)+1/24</f>
        <v>44408.791666666446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44408.58333333311</v>
      </c>
      <c r="M96" s="74">
        <f>IF(ISERROR(TblImps[[#This Row],[algorithm]]),0,TblImps[[#This Row],[algorithm]]*1)</f>
        <v>0</v>
      </c>
      <c r="N96" s="113">
        <f ca="1">TblImps[[#This Row],[Land]]</f>
        <v>250</v>
      </c>
      <c r="O96" s="375" t="s">
        <v>4</v>
      </c>
      <c r="P96" s="376"/>
      <c r="Q96" s="375" t="s">
        <v>222</v>
      </c>
      <c r="R96" s="375" t="s">
        <v>7</v>
      </c>
      <c r="S96" s="376"/>
      <c r="T96" s="375" t="s">
        <v>222</v>
      </c>
      <c r="U96" s="375" t="s">
        <v>3</v>
      </c>
      <c r="V96" s="376"/>
      <c r="W96" s="375" t="s">
        <v>222</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44408.58333333311</v>
      </c>
      <c r="BZ96" s="387">
        <f ca="1">OFFSET(TblImps[[#This Row],[Servertime]],-1,0)+1/24</f>
        <v>44408.83333333311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44408.624999999774</v>
      </c>
      <c r="M97" s="74">
        <f>IF(ISERROR(TblImps[[#This Row],[algorithm]]),0,TblImps[[#This Row],[algorithm]]*1)</f>
        <v>0</v>
      </c>
      <c r="N97" s="113">
        <f ca="1">TblImps[[#This Row],[Land]]</f>
        <v>250</v>
      </c>
      <c r="O97" s="375" t="s">
        <v>4</v>
      </c>
      <c r="P97" s="376"/>
      <c r="Q97" s="375" t="s">
        <v>222</v>
      </c>
      <c r="R97" s="375" t="s">
        <v>7</v>
      </c>
      <c r="S97" s="376"/>
      <c r="T97" s="375" t="s">
        <v>222</v>
      </c>
      <c r="U97" s="375" t="s">
        <v>3</v>
      </c>
      <c r="V97" s="376"/>
      <c r="W97" s="375" t="s">
        <v>222</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44408.624999999774</v>
      </c>
      <c r="BZ97" s="387">
        <f ca="1">OFFSET(TblImps[[#This Row],[Servertime]],-1,0)+1/24</f>
        <v>44408.874999999774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44408.666666666439</v>
      </c>
      <c r="M98" s="74">
        <f>IF(ISERROR(TblImps[[#This Row],[algorithm]]),0,TblImps[[#This Row],[algorithm]]*1)</f>
        <v>0</v>
      </c>
      <c r="N98" s="113">
        <f ca="1">TblImps[[#This Row],[Land]]</f>
        <v>250</v>
      </c>
      <c r="O98" s="375" t="s">
        <v>4</v>
      </c>
      <c r="P98" s="376"/>
      <c r="Q98" s="375" t="s">
        <v>222</v>
      </c>
      <c r="R98" s="375" t="s">
        <v>7</v>
      </c>
      <c r="S98" s="376"/>
      <c r="T98" s="375" t="s">
        <v>222</v>
      </c>
      <c r="U98" s="375" t="s">
        <v>3</v>
      </c>
      <c r="V98" s="376"/>
      <c r="W98" s="375" t="s">
        <v>222</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44408.666666666439</v>
      </c>
      <c r="BZ98" s="387">
        <f ca="1">OFFSET(TblImps[[#This Row],[Servertime]],-1,0)+1/24</f>
        <v>44408.916666666439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44408.708333333103</v>
      </c>
      <c r="M99" s="74">
        <f>IF(ISERROR(TblImps[[#This Row],[algorithm]]),0,TblImps[[#This Row],[algorithm]]*1)</f>
        <v>0</v>
      </c>
      <c r="N99" s="113">
        <f ca="1">TblImps[[#This Row],[Land]]</f>
        <v>250</v>
      </c>
      <c r="O99" s="375" t="s">
        <v>4</v>
      </c>
      <c r="P99" s="376"/>
      <c r="Q99" s="375" t="s">
        <v>222</v>
      </c>
      <c r="R99" s="375" t="s">
        <v>7</v>
      </c>
      <c r="S99" s="376"/>
      <c r="T99" s="375" t="s">
        <v>222</v>
      </c>
      <c r="U99" s="375" t="s">
        <v>3</v>
      </c>
      <c r="V99" s="376"/>
      <c r="W99" s="375" t="s">
        <v>222</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44408.708333333103</v>
      </c>
      <c r="BZ99" s="387">
        <f ca="1">OFFSET(TblImps[[#This Row],[Servertime]],-1,0)+1/24</f>
        <v>44408.958333333103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44408.749999999767</v>
      </c>
      <c r="M100" s="74">
        <f>IF(ISERROR(TblImps[[#This Row],[algorithm]]),0,TblImps[[#This Row],[algorithm]]*1)</f>
        <v>0</v>
      </c>
      <c r="N100" s="113">
        <f ca="1">TblImps[[#This Row],[Land]]</f>
        <v>250</v>
      </c>
      <c r="O100" s="375" t="s">
        <v>4</v>
      </c>
      <c r="P100" s="376"/>
      <c r="Q100" s="375" t="s">
        <v>222</v>
      </c>
      <c r="R100" s="375" t="s">
        <v>7</v>
      </c>
      <c r="S100" s="376"/>
      <c r="T100" s="375" t="s">
        <v>222</v>
      </c>
      <c r="U100" s="375" t="s">
        <v>3</v>
      </c>
      <c r="V100" s="376"/>
      <c r="W100" s="375" t="s">
        <v>222</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44408.749999999767</v>
      </c>
      <c r="BZ100" s="387">
        <f ca="1">OFFSET(TblImps[[#This Row],[Servertime]],-1,0)+1/24</f>
        <v>44408.999999999767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44408.791666666431</v>
      </c>
      <c r="M101" s="74">
        <f>IF(ISERROR(TblImps[[#This Row],[algorithm]]),0,TblImps[[#This Row],[algorithm]]*1)</f>
        <v>0</v>
      </c>
      <c r="N101" s="113">
        <f ca="1">TblImps[[#This Row],[Land]]</f>
        <v>250</v>
      </c>
      <c r="O101" s="375" t="s">
        <v>4</v>
      </c>
      <c r="P101" s="376"/>
      <c r="Q101" s="375" t="s">
        <v>222</v>
      </c>
      <c r="R101" s="375" t="s">
        <v>7</v>
      </c>
      <c r="S101" s="376"/>
      <c r="T101" s="375" t="s">
        <v>222</v>
      </c>
      <c r="U101" s="375" t="s">
        <v>3</v>
      </c>
      <c r="V101" s="376"/>
      <c r="W101" s="375" t="s">
        <v>222</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44408.791666666431</v>
      </c>
      <c r="BZ101" s="387">
        <f ca="1">OFFSET(TblImps[[#This Row],[Servertime]],-1,0)+1/24</f>
        <v>44409.041666666431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44408.833333333096</v>
      </c>
      <c r="M102" s="74">
        <f>IF(ISERROR(TblImps[[#This Row],[algorithm]]),0,TblImps[[#This Row],[algorithm]]*1)</f>
        <v>0</v>
      </c>
      <c r="N102" s="113">
        <f ca="1">TblImps[[#This Row],[Land]]</f>
        <v>250</v>
      </c>
      <c r="O102" s="375" t="s">
        <v>4</v>
      </c>
      <c r="P102" s="376"/>
      <c r="Q102" s="375" t="s">
        <v>222</v>
      </c>
      <c r="R102" s="375" t="s">
        <v>7</v>
      </c>
      <c r="S102" s="376"/>
      <c r="T102" s="375" t="s">
        <v>222</v>
      </c>
      <c r="U102" s="375" t="s">
        <v>3</v>
      </c>
      <c r="V102" s="376"/>
      <c r="W102" s="375" t="s">
        <v>222</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44408.833333333096</v>
      </c>
      <c r="BZ102" s="387">
        <f ca="1">OFFSET(TblImps[[#This Row],[Servertime]],-1,0)+1/24</f>
        <v>44409.083333333096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44408.87499999976</v>
      </c>
      <c r="M103" s="74">
        <f>IF(ISERROR(TblImps[[#This Row],[algorithm]]),0,TblImps[[#This Row],[algorithm]]*1)</f>
        <v>0</v>
      </c>
      <c r="N103" s="113">
        <f ca="1">TblImps[[#This Row],[Land]]</f>
        <v>250</v>
      </c>
      <c r="O103" s="375" t="s">
        <v>4</v>
      </c>
      <c r="P103" s="376"/>
      <c r="Q103" s="375" t="s">
        <v>222</v>
      </c>
      <c r="R103" s="375" t="s">
        <v>7</v>
      </c>
      <c r="S103" s="376"/>
      <c r="T103" s="375" t="s">
        <v>222</v>
      </c>
      <c r="U103" s="375" t="s">
        <v>3</v>
      </c>
      <c r="V103" s="376"/>
      <c r="W103" s="375" t="s">
        <v>222</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44408.87499999976</v>
      </c>
      <c r="BZ103" s="387">
        <f ca="1">OFFSET(TblImps[[#This Row],[Servertime]],-1,0)+1/24</f>
        <v>44409.12499999976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44408.916666666424</v>
      </c>
      <c r="M104" s="74">
        <f>IF(ISERROR(TblImps[[#This Row],[algorithm]]),0,TblImps[[#This Row],[algorithm]]*1)</f>
        <v>0</v>
      </c>
      <c r="N104" s="113">
        <f ca="1">TblImps[[#This Row],[Land]]</f>
        <v>250</v>
      </c>
      <c r="O104" s="375" t="s">
        <v>4</v>
      </c>
      <c r="P104" s="376"/>
      <c r="Q104" s="375" t="s">
        <v>222</v>
      </c>
      <c r="R104" s="375" t="s">
        <v>7</v>
      </c>
      <c r="S104" s="376"/>
      <c r="T104" s="375" t="s">
        <v>222</v>
      </c>
      <c r="U104" s="375" t="s">
        <v>3</v>
      </c>
      <c r="V104" s="376"/>
      <c r="W104" s="375" t="s">
        <v>222</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44408.916666666424</v>
      </c>
      <c r="BZ104" s="387">
        <f ca="1">OFFSET(TblImps[[#This Row],[Servertime]],-1,0)+1/24</f>
        <v>44409.166666666424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44408.958333333088</v>
      </c>
      <c r="M105" s="74">
        <f>IF(ISERROR(TblImps[[#This Row],[algorithm]]),0,TblImps[[#This Row],[algorithm]]*1)</f>
        <v>0</v>
      </c>
      <c r="N105" s="113">
        <f ca="1">TblImps[[#This Row],[Land]]</f>
        <v>250</v>
      </c>
      <c r="O105" s="375" t="s">
        <v>4</v>
      </c>
      <c r="P105" s="376"/>
      <c r="Q105" s="375" t="s">
        <v>222</v>
      </c>
      <c r="R105" s="375" t="s">
        <v>7</v>
      </c>
      <c r="S105" s="376"/>
      <c r="T105" s="375" t="s">
        <v>222</v>
      </c>
      <c r="U105" s="375" t="s">
        <v>3</v>
      </c>
      <c r="V105" s="376"/>
      <c r="W105" s="375" t="s">
        <v>222</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44408.958333333088</v>
      </c>
      <c r="BZ105" s="387">
        <f ca="1">OFFSET(TblImps[[#This Row],[Servertime]],-1,0)+1/24</f>
        <v>44409.208333333088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44408.999999999753</v>
      </c>
      <c r="M106" s="74">
        <f>IF(ISERROR(TblImps[[#This Row],[algorithm]]),0,TblImps[[#This Row],[algorithm]]*1)</f>
        <v>0</v>
      </c>
      <c r="N106" s="113">
        <f ca="1">TblImps[[#This Row],[Land]]</f>
        <v>250</v>
      </c>
      <c r="O106" s="375" t="s">
        <v>4</v>
      </c>
      <c r="P106" s="376"/>
      <c r="Q106" s="375" t="s">
        <v>222</v>
      </c>
      <c r="R106" s="375" t="s">
        <v>7</v>
      </c>
      <c r="S106" s="376"/>
      <c r="T106" s="375" t="s">
        <v>222</v>
      </c>
      <c r="U106" s="375" t="s">
        <v>3</v>
      </c>
      <c r="V106" s="376"/>
      <c r="W106" s="375" t="s">
        <v>222</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44408.999999999753</v>
      </c>
      <c r="BZ106" s="387">
        <f ca="1">OFFSET(TblImps[[#This Row],[Servertime]],-1,0)+1/24</f>
        <v>44409.249999999753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44409.041666666417</v>
      </c>
      <c r="M107" s="74">
        <f>IF(ISERROR(TblImps[[#This Row],[algorithm]]),0,TblImps[[#This Row],[algorithm]]*1)</f>
        <v>0</v>
      </c>
      <c r="N107" s="113">
        <f ca="1">TblImps[[#This Row],[Land]]</f>
        <v>250</v>
      </c>
      <c r="O107" s="375" t="s">
        <v>4</v>
      </c>
      <c r="P107" s="376"/>
      <c r="Q107" s="375" t="s">
        <v>222</v>
      </c>
      <c r="R107" s="375" t="s">
        <v>7</v>
      </c>
      <c r="S107" s="376"/>
      <c r="T107" s="375" t="s">
        <v>222</v>
      </c>
      <c r="U107" s="375" t="s">
        <v>3</v>
      </c>
      <c r="V107" s="376"/>
      <c r="W107" s="375" t="s">
        <v>222</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44409.041666666417</v>
      </c>
      <c r="BZ107" s="387">
        <f ca="1">OFFSET(TblImps[[#This Row],[Servertime]],-1,0)+1/24</f>
        <v>44409.291666666417</v>
      </c>
      <c r="CA107" s="141"/>
      <c r="CB107" s="385"/>
      <c r="CC107" s="385"/>
      <c r="CD107" s="59" t="s">
        <v>220</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44409.083333333081</v>
      </c>
      <c r="M108" s="74">
        <f>IF(ISERROR(TblImps[[#This Row],[algorithm]]),0,TblImps[[#This Row],[algorithm]]*1)</f>
        <v>0</v>
      </c>
      <c r="N108" s="113">
        <f ca="1">TblImps[[#This Row],[Land]]</f>
        <v>250</v>
      </c>
      <c r="O108" s="375" t="s">
        <v>4</v>
      </c>
      <c r="P108" s="376"/>
      <c r="Q108" s="375" t="s">
        <v>222</v>
      </c>
      <c r="R108" s="375" t="s">
        <v>7</v>
      </c>
      <c r="S108" s="376"/>
      <c r="T108" s="375" t="s">
        <v>222</v>
      </c>
      <c r="U108" s="375" t="s">
        <v>3</v>
      </c>
      <c r="V108" s="376"/>
      <c r="W108" s="375" t="s">
        <v>222</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44409.083333333081</v>
      </c>
      <c r="BZ108" s="387">
        <f ca="1">OFFSET(TblImps[[#This Row],[Servertime]],-1,0)+1/24</f>
        <v>44409.333333333081</v>
      </c>
      <c r="CA108" s="141"/>
      <c r="CB108" s="385"/>
      <c r="CC108" s="385"/>
      <c r="CD108" s="59" t="s">
        <v>222</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44409.124999999745</v>
      </c>
      <c r="M109" s="74">
        <f>IF(ISERROR(TblImps[[#This Row],[algorithm]]),0,TblImps[[#This Row],[algorithm]]*1)</f>
        <v>0</v>
      </c>
      <c r="N109" s="113">
        <f ca="1">TblImps[[#This Row],[Land]]</f>
        <v>250</v>
      </c>
      <c r="O109" s="375" t="s">
        <v>4</v>
      </c>
      <c r="P109" s="376"/>
      <c r="Q109" s="375" t="s">
        <v>222</v>
      </c>
      <c r="R109" s="375" t="s">
        <v>7</v>
      </c>
      <c r="S109" s="376"/>
      <c r="T109" s="375" t="s">
        <v>222</v>
      </c>
      <c r="U109" s="375" t="s">
        <v>3</v>
      </c>
      <c r="V109" s="376"/>
      <c r="W109" s="375" t="s">
        <v>222</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44409.124999999745</v>
      </c>
      <c r="BZ109" s="387">
        <f ca="1">OFFSET(TblImps[[#This Row],[Servertime]],-1,0)+1/24</f>
        <v>44409.374999999745</v>
      </c>
      <c r="CA109" s="141"/>
      <c r="CB109" s="385"/>
      <c r="CC109" s="385"/>
      <c r="CD109" s="59" t="s">
        <v>223</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44409.16666666641</v>
      </c>
      <c r="M110" s="74">
        <f>IF(ISERROR(TblImps[[#This Row],[algorithm]]),0,TblImps[[#This Row],[algorithm]]*1)</f>
        <v>0</v>
      </c>
      <c r="N110" s="113">
        <f ca="1">TblImps[[#This Row],[Land]]</f>
        <v>250</v>
      </c>
      <c r="O110" s="375" t="s">
        <v>4</v>
      </c>
      <c r="P110" s="376"/>
      <c r="Q110" s="375" t="s">
        <v>222</v>
      </c>
      <c r="R110" s="375" t="s">
        <v>7</v>
      </c>
      <c r="S110" s="376"/>
      <c r="T110" s="375" t="s">
        <v>222</v>
      </c>
      <c r="U110" s="375" t="s">
        <v>3</v>
      </c>
      <c r="V110" s="376"/>
      <c r="W110" s="375" t="s">
        <v>222</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44409.16666666641</v>
      </c>
      <c r="BZ110" s="387">
        <f ca="1">OFFSET(TblImps[[#This Row],[Servertime]],-1,0)+1/24</f>
        <v>44409.41666666641</v>
      </c>
      <c r="CA110" s="141"/>
      <c r="CB110" s="385"/>
      <c r="CC110" s="385"/>
      <c r="CD110" s="59" t="s">
        <v>224</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44409.208333333074</v>
      </c>
      <c r="M111" s="74">
        <f>IF(ISERROR(TblImps[[#This Row],[algorithm]]),0,TblImps[[#This Row],[algorithm]]*1)</f>
        <v>0</v>
      </c>
      <c r="N111" s="113">
        <f ca="1">TblImps[[#This Row],[Land]]</f>
        <v>250</v>
      </c>
      <c r="O111" s="375" t="s">
        <v>4</v>
      </c>
      <c r="P111" s="376"/>
      <c r="Q111" s="375" t="s">
        <v>222</v>
      </c>
      <c r="R111" s="375" t="s">
        <v>7</v>
      </c>
      <c r="S111" s="376"/>
      <c r="T111" s="375" t="s">
        <v>222</v>
      </c>
      <c r="U111" s="375" t="s">
        <v>3</v>
      </c>
      <c r="V111" s="376"/>
      <c r="W111" s="375" t="s">
        <v>222</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44409.208333333074</v>
      </c>
      <c r="BZ111" s="387">
        <f ca="1">OFFSET(TblImps[[#This Row],[Servertime]],-1,0)+1/24</f>
        <v>44409.458333333074</v>
      </c>
      <c r="CA111" s="141"/>
      <c r="CB111" s="385"/>
      <c r="CC111" s="385"/>
      <c r="CD111" s="49" t="s">
        <v>225</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44409.249999999738</v>
      </c>
      <c r="M112" s="74">
        <f>IF(ISERROR(TblImps[[#This Row],[algorithm]]),0,TblImps[[#This Row],[algorithm]]*1)</f>
        <v>0</v>
      </c>
      <c r="N112" s="113">
        <f ca="1">TblImps[[#This Row],[Land]]</f>
        <v>250</v>
      </c>
      <c r="O112" s="375" t="s">
        <v>4</v>
      </c>
      <c r="P112" s="376"/>
      <c r="Q112" s="375" t="s">
        <v>222</v>
      </c>
      <c r="R112" s="375" t="s">
        <v>7</v>
      </c>
      <c r="S112" s="376"/>
      <c r="T112" s="375" t="s">
        <v>222</v>
      </c>
      <c r="U112" s="375" t="s">
        <v>3</v>
      </c>
      <c r="V112" s="376"/>
      <c r="W112" s="375" t="s">
        <v>222</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44409.249999999738</v>
      </c>
      <c r="BZ112" s="387">
        <f ca="1">OFFSET(TblImps[[#This Row],[Servertime]],-1,0)+1/24</f>
        <v>44409.499999999738</v>
      </c>
      <c r="CA112" s="141"/>
      <c r="CB112" s="385"/>
      <c r="CC112" s="385"/>
      <c r="CD112" s="49" t="s">
        <v>226</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44409.291666666402</v>
      </c>
      <c r="M113" s="74">
        <f>IF(ISERROR(TblImps[[#This Row],[algorithm]]),0,TblImps[[#This Row],[algorithm]]*1)</f>
        <v>0</v>
      </c>
      <c r="N113" s="113">
        <f ca="1">TblImps[[#This Row],[Land]]</f>
        <v>250</v>
      </c>
      <c r="O113" s="375" t="s">
        <v>4</v>
      </c>
      <c r="P113" s="376"/>
      <c r="Q113" s="375" t="s">
        <v>222</v>
      </c>
      <c r="R113" s="375" t="s">
        <v>7</v>
      </c>
      <c r="S113" s="376"/>
      <c r="T113" s="375" t="s">
        <v>222</v>
      </c>
      <c r="U113" s="375" t="s">
        <v>3</v>
      </c>
      <c r="V113" s="376"/>
      <c r="W113" s="375" t="s">
        <v>222</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44409.291666666402</v>
      </c>
      <c r="BZ113" s="387">
        <f ca="1">OFFSET(TblImps[[#This Row],[Servertime]],-1,0)+1/24</f>
        <v>44409.541666666402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44409.333333333067</v>
      </c>
      <c r="M114" s="74">
        <f>IF(ISERROR(TblImps[[#This Row],[algorithm]]),0,TblImps[[#This Row],[algorithm]]*1)</f>
        <v>0</v>
      </c>
      <c r="N114" s="113">
        <f ca="1">TblImps[[#This Row],[Land]]</f>
        <v>250</v>
      </c>
      <c r="O114" s="375" t="s">
        <v>4</v>
      </c>
      <c r="P114" s="376"/>
      <c r="Q114" s="375" t="s">
        <v>222</v>
      </c>
      <c r="R114" s="375" t="s">
        <v>7</v>
      </c>
      <c r="S114" s="376"/>
      <c r="T114" s="375" t="s">
        <v>222</v>
      </c>
      <c r="U114" s="375" t="s">
        <v>3</v>
      </c>
      <c r="V114" s="376"/>
      <c r="W114" s="375" t="s">
        <v>222</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44409.333333333067</v>
      </c>
      <c r="BZ114" s="387">
        <f ca="1">OFFSET(TblImps[[#This Row],[Servertime]],-1,0)+1/24</f>
        <v>44409.583333333067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44409.374999999731</v>
      </c>
      <c r="M115" s="74">
        <f>IF(ISERROR(TblImps[[#This Row],[algorithm]]),0,TblImps[[#This Row],[algorithm]]*1)</f>
        <v>0</v>
      </c>
      <c r="N115" s="113">
        <f ca="1">TblImps[[#This Row],[Land]]</f>
        <v>250</v>
      </c>
      <c r="O115" s="375" t="s">
        <v>4</v>
      </c>
      <c r="P115" s="376"/>
      <c r="Q115" s="375" t="s">
        <v>222</v>
      </c>
      <c r="R115" s="375" t="s">
        <v>7</v>
      </c>
      <c r="S115" s="376"/>
      <c r="T115" s="375" t="s">
        <v>222</v>
      </c>
      <c r="U115" s="375" t="s">
        <v>3</v>
      </c>
      <c r="V115" s="376"/>
      <c r="W115" s="375" t="s">
        <v>222</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44409.374999999731</v>
      </c>
      <c r="BZ115" s="387">
        <f ca="1">OFFSET(TblImps[[#This Row],[Servertime]],-1,0)+1/24</f>
        <v>44409.624999999731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44409.416666666395</v>
      </c>
      <c r="M116" s="74">
        <f>IF(ISERROR(TblImps[[#This Row],[algorithm]]),0,TblImps[[#This Row],[algorithm]]*1)</f>
        <v>0</v>
      </c>
      <c r="N116" s="113">
        <f ca="1">TblImps[[#This Row],[Land]]</f>
        <v>250</v>
      </c>
      <c r="O116" s="375" t="s">
        <v>4</v>
      </c>
      <c r="P116" s="376"/>
      <c r="Q116" s="375" t="s">
        <v>222</v>
      </c>
      <c r="R116" s="375" t="s">
        <v>7</v>
      </c>
      <c r="S116" s="376"/>
      <c r="T116" s="375" t="s">
        <v>222</v>
      </c>
      <c r="U116" s="375" t="s">
        <v>3</v>
      </c>
      <c r="V116" s="376"/>
      <c r="W116" s="375" t="s">
        <v>222</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44409.416666666395</v>
      </c>
      <c r="BZ116" s="387">
        <f ca="1">OFFSET(TblImps[[#This Row],[Servertime]],-1,0)+1/24</f>
        <v>44409.666666666395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44409.458333333059</v>
      </c>
      <c r="M117" s="74">
        <f>IF(ISERROR(TblImps[[#This Row],[algorithm]]),0,TblImps[[#This Row],[algorithm]]*1)</f>
        <v>0</v>
      </c>
      <c r="N117" s="113">
        <f ca="1">TblImps[[#This Row],[Land]]</f>
        <v>250</v>
      </c>
      <c r="O117" s="375" t="s">
        <v>4</v>
      </c>
      <c r="P117" s="376"/>
      <c r="Q117" s="375" t="s">
        <v>222</v>
      </c>
      <c r="R117" s="375" t="s">
        <v>7</v>
      </c>
      <c r="S117" s="376"/>
      <c r="T117" s="375" t="s">
        <v>222</v>
      </c>
      <c r="U117" s="375" t="s">
        <v>3</v>
      </c>
      <c r="V117" s="376"/>
      <c r="W117" s="375" t="s">
        <v>222</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44409.458333333059</v>
      </c>
      <c r="BZ117" s="387">
        <f ca="1">OFFSET(TblImps[[#This Row],[Servertime]],-1,0)+1/24</f>
        <v>44409.708333333059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44409.499999999724</v>
      </c>
      <c r="M118" s="74">
        <f>IF(ISERROR(TblImps[[#This Row],[algorithm]]),0,TblImps[[#This Row],[algorithm]]*1)</f>
        <v>0</v>
      </c>
      <c r="N118" s="113">
        <f ca="1">TblImps[[#This Row],[Land]]</f>
        <v>250</v>
      </c>
      <c r="O118" s="375" t="s">
        <v>4</v>
      </c>
      <c r="P118" s="376"/>
      <c r="Q118" s="375" t="s">
        <v>222</v>
      </c>
      <c r="R118" s="375" t="s">
        <v>7</v>
      </c>
      <c r="S118" s="376"/>
      <c r="T118" s="375" t="s">
        <v>222</v>
      </c>
      <c r="U118" s="375" t="s">
        <v>3</v>
      </c>
      <c r="V118" s="376"/>
      <c r="W118" s="375" t="s">
        <v>222</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44409.499999999724</v>
      </c>
      <c r="BZ118" s="387">
        <f ca="1">OFFSET(TblImps[[#This Row],[Servertime]],-1,0)+1/24</f>
        <v>44409.749999999724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44409.541666666388</v>
      </c>
      <c r="M119" s="74">
        <f>IF(ISERROR(TblImps[[#This Row],[algorithm]]),0,TblImps[[#This Row],[algorithm]]*1)</f>
        <v>0</v>
      </c>
      <c r="N119" s="113">
        <f ca="1">TblImps[[#This Row],[Land]]</f>
        <v>250</v>
      </c>
      <c r="O119" s="375" t="s">
        <v>4</v>
      </c>
      <c r="P119" s="376"/>
      <c r="Q119" s="375" t="s">
        <v>222</v>
      </c>
      <c r="R119" s="375" t="s">
        <v>7</v>
      </c>
      <c r="S119" s="376"/>
      <c r="T119" s="375" t="s">
        <v>222</v>
      </c>
      <c r="U119" s="375" t="s">
        <v>3</v>
      </c>
      <c r="V119" s="376"/>
      <c r="W119" s="375" t="s">
        <v>222</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44409.541666666388</v>
      </c>
      <c r="BZ119" s="387">
        <f ca="1">OFFSET(TblImps[[#This Row],[Servertime]],-1,0)+1/24</f>
        <v>44409.791666666388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44409.583333333052</v>
      </c>
      <c r="M120" s="74">
        <f>IF(ISERROR(TblImps[[#This Row],[algorithm]]),0,TblImps[[#This Row],[algorithm]]*1)</f>
        <v>0</v>
      </c>
      <c r="N120" s="113">
        <f ca="1">TblImps[[#This Row],[Land]]</f>
        <v>250</v>
      </c>
      <c r="O120" s="375" t="s">
        <v>4</v>
      </c>
      <c r="P120" s="376"/>
      <c r="Q120" s="375" t="s">
        <v>222</v>
      </c>
      <c r="R120" s="375" t="s">
        <v>7</v>
      </c>
      <c r="S120" s="376"/>
      <c r="T120" s="375" t="s">
        <v>222</v>
      </c>
      <c r="U120" s="375" t="s">
        <v>3</v>
      </c>
      <c r="V120" s="376"/>
      <c r="W120" s="375" t="s">
        <v>222</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44409.583333333052</v>
      </c>
      <c r="BZ120" s="387">
        <f ca="1">OFFSET(TblImps[[#This Row],[Servertime]],-1,0)+1/24</f>
        <v>44409.833333333052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44409.624999999716</v>
      </c>
      <c r="M121" s="74">
        <f>IF(ISERROR(TblImps[[#This Row],[algorithm]]),0,TblImps[[#This Row],[algorithm]]*1)</f>
        <v>0</v>
      </c>
      <c r="N121" s="113">
        <f ca="1">TblImps[[#This Row],[Land]]</f>
        <v>250</v>
      </c>
      <c r="O121" s="375" t="s">
        <v>4</v>
      </c>
      <c r="P121" s="376"/>
      <c r="Q121" s="375" t="s">
        <v>222</v>
      </c>
      <c r="R121" s="375" t="s">
        <v>7</v>
      </c>
      <c r="S121" s="376"/>
      <c r="T121" s="375" t="s">
        <v>222</v>
      </c>
      <c r="U121" s="375" t="s">
        <v>3</v>
      </c>
      <c r="V121" s="376"/>
      <c r="W121" s="375" t="s">
        <v>222</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44409.624999999716</v>
      </c>
      <c r="BZ121" s="387">
        <f ca="1">OFFSET(TblImps[[#This Row],[Servertime]],-1,0)+1/24</f>
        <v>44409.874999999716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44409.66666666638</v>
      </c>
      <c r="M122" s="74">
        <f>IF(ISERROR(TblImps[[#This Row],[algorithm]]),0,TblImps[[#This Row],[algorithm]]*1)</f>
        <v>0</v>
      </c>
      <c r="N122" s="113">
        <f ca="1">TblImps[[#This Row],[Land]]</f>
        <v>250</v>
      </c>
      <c r="O122" s="375" t="s">
        <v>4</v>
      </c>
      <c r="P122" s="376"/>
      <c r="Q122" s="375" t="s">
        <v>222</v>
      </c>
      <c r="R122" s="375" t="s">
        <v>7</v>
      </c>
      <c r="S122" s="376"/>
      <c r="T122" s="375" t="s">
        <v>222</v>
      </c>
      <c r="U122" s="375" t="s">
        <v>3</v>
      </c>
      <c r="V122" s="376"/>
      <c r="W122" s="375" t="s">
        <v>222</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44409.66666666638</v>
      </c>
      <c r="BZ122" s="387">
        <f ca="1">OFFSET(TblImps[[#This Row],[Servertime]],-1,0)+1/24</f>
        <v>44409.91666666638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44409.708333333045</v>
      </c>
      <c r="M123" s="74">
        <f>IF(ISERROR(TblImps[[#This Row],[algorithm]]),0,TblImps[[#This Row],[algorithm]]*1)</f>
        <v>0</v>
      </c>
      <c r="N123" s="113">
        <f ca="1">TblImps[[#This Row],[Land]]</f>
        <v>250</v>
      </c>
      <c r="O123" s="375" t="s">
        <v>4</v>
      </c>
      <c r="P123" s="376"/>
      <c r="Q123" s="375" t="s">
        <v>222</v>
      </c>
      <c r="R123" s="375" t="s">
        <v>7</v>
      </c>
      <c r="S123" s="376"/>
      <c r="T123" s="375" t="s">
        <v>222</v>
      </c>
      <c r="U123" s="375" t="s">
        <v>3</v>
      </c>
      <c r="V123" s="376"/>
      <c r="W123" s="375" t="s">
        <v>222</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44409.708333333045</v>
      </c>
      <c r="BZ123" s="387">
        <f ca="1">OFFSET(TblImps[[#This Row],[Servertime]],-1,0)+1/24</f>
        <v>44409.958333333045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44409.749999999709</v>
      </c>
      <c r="M124" s="74">
        <f>IF(ISERROR(TblImps[[#This Row],[algorithm]]),0,TblImps[[#This Row],[algorithm]]*1)</f>
        <v>0</v>
      </c>
      <c r="N124" s="113">
        <f ca="1">TblImps[[#This Row],[Land]]</f>
        <v>250</v>
      </c>
      <c r="O124" s="375" t="s">
        <v>4</v>
      </c>
      <c r="P124" s="376"/>
      <c r="Q124" s="375" t="s">
        <v>222</v>
      </c>
      <c r="R124" s="375" t="s">
        <v>7</v>
      </c>
      <c r="S124" s="376"/>
      <c r="T124" s="375" t="s">
        <v>222</v>
      </c>
      <c r="U124" s="375" t="s">
        <v>3</v>
      </c>
      <c r="V124" s="376"/>
      <c r="W124" s="375" t="s">
        <v>222</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44409.749999999709</v>
      </c>
      <c r="BZ124" s="387">
        <f ca="1">OFFSET(TblImps[[#This Row],[Servertime]],-1,0)+1/24</f>
        <v>44409.999999999709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44409.791666666373</v>
      </c>
      <c r="M125" s="74">
        <f>IF(ISERROR(TblImps[[#This Row],[algorithm]]),0,TblImps[[#This Row],[algorithm]]*1)</f>
        <v>0</v>
      </c>
      <c r="N125" s="113">
        <f ca="1">TblImps[[#This Row],[Land]]</f>
        <v>250</v>
      </c>
      <c r="O125" s="375" t="s">
        <v>4</v>
      </c>
      <c r="P125" s="376"/>
      <c r="Q125" s="375" t="s">
        <v>222</v>
      </c>
      <c r="R125" s="375" t="s">
        <v>7</v>
      </c>
      <c r="S125" s="376"/>
      <c r="T125" s="375" t="s">
        <v>222</v>
      </c>
      <c r="U125" s="375" t="s">
        <v>3</v>
      </c>
      <c r="V125" s="376"/>
      <c r="W125" s="375" t="s">
        <v>222</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44409.791666666373</v>
      </c>
      <c r="BZ125" s="387">
        <f ca="1">OFFSET(TblImps[[#This Row],[Servertime]],-1,0)+1/24</f>
        <v>44410.041666666373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44409.833333333037</v>
      </c>
      <c r="M126" s="74">
        <f>IF(ISERROR(TblImps[[#This Row],[algorithm]]),0,TblImps[[#This Row],[algorithm]]*1)</f>
        <v>0</v>
      </c>
      <c r="N126" s="113">
        <f ca="1">TblImps[[#This Row],[Land]]</f>
        <v>250</v>
      </c>
      <c r="O126" s="375" t="s">
        <v>4</v>
      </c>
      <c r="P126" s="376"/>
      <c r="Q126" s="375" t="s">
        <v>222</v>
      </c>
      <c r="R126" s="375" t="s">
        <v>7</v>
      </c>
      <c r="S126" s="376"/>
      <c r="T126" s="375" t="s">
        <v>222</v>
      </c>
      <c r="U126" s="375" t="s">
        <v>3</v>
      </c>
      <c r="V126" s="376"/>
      <c r="W126" s="375" t="s">
        <v>222</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44409.833333333037</v>
      </c>
      <c r="BZ126" s="387">
        <f ca="1">OFFSET(TblImps[[#This Row],[Servertime]],-1,0)+1/24</f>
        <v>44410.083333333037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44409.874999999702</v>
      </c>
      <c r="M127" s="74">
        <f>IF(ISERROR(TblImps[[#This Row],[algorithm]]),0,TblImps[[#This Row],[algorithm]]*1)</f>
        <v>0</v>
      </c>
      <c r="N127" s="113">
        <f ca="1">TblImps[[#This Row],[Land]]</f>
        <v>250</v>
      </c>
      <c r="O127" s="375" t="s">
        <v>4</v>
      </c>
      <c r="P127" s="376"/>
      <c r="Q127" s="375" t="s">
        <v>222</v>
      </c>
      <c r="R127" s="375" t="s">
        <v>7</v>
      </c>
      <c r="S127" s="376"/>
      <c r="T127" s="375" t="s">
        <v>222</v>
      </c>
      <c r="U127" s="375" t="s">
        <v>3</v>
      </c>
      <c r="V127" s="376"/>
      <c r="W127" s="375" t="s">
        <v>222</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44409.874999999702</v>
      </c>
      <c r="BZ127" s="387">
        <f ca="1">OFFSET(TblImps[[#This Row],[Servertime]],-1,0)+1/24</f>
        <v>44410.124999999702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44409.916666666366</v>
      </c>
      <c r="M128" s="74">
        <f>IF(ISERROR(TblImps[[#This Row],[algorithm]]),0,TblImps[[#This Row],[algorithm]]*1)</f>
        <v>0</v>
      </c>
      <c r="N128" s="113">
        <f ca="1">TblImps[[#This Row],[Land]]</f>
        <v>250</v>
      </c>
      <c r="O128" s="375" t="s">
        <v>4</v>
      </c>
      <c r="P128" s="376"/>
      <c r="Q128" s="375" t="s">
        <v>222</v>
      </c>
      <c r="R128" s="375" t="s">
        <v>7</v>
      </c>
      <c r="S128" s="376"/>
      <c r="T128" s="375" t="s">
        <v>222</v>
      </c>
      <c r="U128" s="375" t="s">
        <v>3</v>
      </c>
      <c r="V128" s="376"/>
      <c r="W128" s="375" t="s">
        <v>222</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44409.916666666366</v>
      </c>
      <c r="BZ128" s="387">
        <f ca="1">OFFSET(TblImps[[#This Row],[Servertime]],-1,0)+1/24</f>
        <v>44410.166666666366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44409.95833333303</v>
      </c>
      <c r="M129" s="74">
        <f>IF(ISERROR(TblImps[[#This Row],[algorithm]]),0,TblImps[[#This Row],[algorithm]]*1)</f>
        <v>0</v>
      </c>
      <c r="N129" s="113">
        <f ca="1">TblImps[[#This Row],[Land]]</f>
        <v>250</v>
      </c>
      <c r="O129" s="375" t="s">
        <v>4</v>
      </c>
      <c r="P129" s="376"/>
      <c r="Q129" s="375" t="s">
        <v>222</v>
      </c>
      <c r="R129" s="375" t="s">
        <v>7</v>
      </c>
      <c r="S129" s="376"/>
      <c r="T129" s="375" t="s">
        <v>222</v>
      </c>
      <c r="U129" s="375" t="s">
        <v>3</v>
      </c>
      <c r="V129" s="376"/>
      <c r="W129" s="375" t="s">
        <v>222</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44409.95833333303</v>
      </c>
      <c r="BZ129" s="387">
        <f ca="1">OFFSET(TblImps[[#This Row],[Servertime]],-1,0)+1/24</f>
        <v>44410.20833333303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44409.999999999694</v>
      </c>
      <c r="M130" s="74">
        <f>IF(ISERROR(TblImps[[#This Row],[algorithm]]),0,TblImps[[#This Row],[algorithm]]*1)</f>
        <v>0</v>
      </c>
      <c r="N130" s="113">
        <f ca="1">TblImps[[#This Row],[Land]]</f>
        <v>250</v>
      </c>
      <c r="O130" s="375" t="s">
        <v>4</v>
      </c>
      <c r="P130" s="376"/>
      <c r="Q130" s="375" t="s">
        <v>222</v>
      </c>
      <c r="R130" s="375" t="s">
        <v>7</v>
      </c>
      <c r="S130" s="376"/>
      <c r="T130" s="375" t="s">
        <v>222</v>
      </c>
      <c r="U130" s="375" t="s">
        <v>3</v>
      </c>
      <c r="V130" s="376"/>
      <c r="W130" s="375" t="s">
        <v>222</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44409.999999999694</v>
      </c>
      <c r="BZ130" s="387">
        <f ca="1">OFFSET(TblImps[[#This Row],[Servertime]],-1,0)+1/24</f>
        <v>44410.249999999694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44410.041666666359</v>
      </c>
      <c r="M131" s="74">
        <f>IF(ISERROR(TblImps[[#This Row],[algorithm]]),0,TblImps[[#This Row],[algorithm]]*1)</f>
        <v>0</v>
      </c>
      <c r="N131" s="113">
        <f ca="1">TblImps[[#This Row],[Land]]</f>
        <v>250</v>
      </c>
      <c r="O131" s="375" t="s">
        <v>4</v>
      </c>
      <c r="P131" s="376"/>
      <c r="Q131" s="375" t="s">
        <v>222</v>
      </c>
      <c r="R131" s="375" t="s">
        <v>7</v>
      </c>
      <c r="S131" s="376"/>
      <c r="T131" s="375" t="s">
        <v>222</v>
      </c>
      <c r="U131" s="375" t="s">
        <v>3</v>
      </c>
      <c r="V131" s="376"/>
      <c r="W131" s="375" t="s">
        <v>222</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44410.041666666359</v>
      </c>
      <c r="BZ131" s="387">
        <f ca="1">OFFSET(TblImps[[#This Row],[Servertime]],-1,0)+1/24</f>
        <v>44410.291666666359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44410.083333333023</v>
      </c>
      <c r="M132" s="74">
        <f>IF(ISERROR(TblImps[[#This Row],[algorithm]]),0,TblImps[[#This Row],[algorithm]]*1)</f>
        <v>0</v>
      </c>
      <c r="N132" s="113">
        <f ca="1">TblImps[[#This Row],[Land]]</f>
        <v>250</v>
      </c>
      <c r="O132" s="375" t="s">
        <v>4</v>
      </c>
      <c r="P132" s="376"/>
      <c r="Q132" s="375" t="s">
        <v>222</v>
      </c>
      <c r="R132" s="375" t="s">
        <v>7</v>
      </c>
      <c r="S132" s="376"/>
      <c r="T132" s="375" t="s">
        <v>222</v>
      </c>
      <c r="U132" s="375" t="s">
        <v>3</v>
      </c>
      <c r="V132" s="376"/>
      <c r="W132" s="375" t="s">
        <v>222</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44410.083333333023</v>
      </c>
      <c r="BZ132" s="387">
        <f ca="1">OFFSET(TblImps[[#This Row],[Servertime]],-1,0)+1/24</f>
        <v>44410.333333333023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44410.124999999687</v>
      </c>
      <c r="M133" s="74">
        <f>IF(ISERROR(TblImps[[#This Row],[algorithm]]),0,TblImps[[#This Row],[algorithm]]*1)</f>
        <v>0</v>
      </c>
      <c r="N133" s="113">
        <f ca="1">TblImps[[#This Row],[Land]]</f>
        <v>250</v>
      </c>
      <c r="O133" s="375" t="s">
        <v>4</v>
      </c>
      <c r="P133" s="376"/>
      <c r="Q133" s="375" t="s">
        <v>222</v>
      </c>
      <c r="R133" s="375" t="s">
        <v>7</v>
      </c>
      <c r="S133" s="376"/>
      <c r="T133" s="375" t="s">
        <v>222</v>
      </c>
      <c r="U133" s="375" t="s">
        <v>3</v>
      </c>
      <c r="V133" s="376"/>
      <c r="W133" s="375" t="s">
        <v>222</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44410.124999999687</v>
      </c>
      <c r="BZ133" s="387">
        <f ca="1">OFFSET(TblImps[[#This Row],[Servertime]],-1,0)+1/24</f>
        <v>44410.374999999687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44410.166666666351</v>
      </c>
      <c r="M134" s="74">
        <f>IF(ISERROR(TblImps[[#This Row],[algorithm]]),0,TblImps[[#This Row],[algorithm]]*1)</f>
        <v>0</v>
      </c>
      <c r="N134" s="113">
        <f ca="1">TblImps[[#This Row],[Land]]</f>
        <v>250</v>
      </c>
      <c r="O134" s="375" t="s">
        <v>4</v>
      </c>
      <c r="P134" s="376"/>
      <c r="Q134" s="375" t="s">
        <v>222</v>
      </c>
      <c r="R134" s="375" t="s">
        <v>7</v>
      </c>
      <c r="S134" s="376"/>
      <c r="T134" s="375" t="s">
        <v>222</v>
      </c>
      <c r="U134" s="375" t="s">
        <v>3</v>
      </c>
      <c r="V134" s="376"/>
      <c r="W134" s="375" t="s">
        <v>222</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44410.166666666351</v>
      </c>
      <c r="BZ134" s="387">
        <f ca="1">OFFSET(TblImps[[#This Row],[Servertime]],-1,0)+1/24</f>
        <v>44410.416666666351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44410.208333333016</v>
      </c>
      <c r="M135" s="74">
        <f>IF(ISERROR(TblImps[[#This Row],[algorithm]]),0,TblImps[[#This Row],[algorithm]]*1)</f>
        <v>0</v>
      </c>
      <c r="N135" s="113">
        <f ca="1">TblImps[[#This Row],[Land]]</f>
        <v>250</v>
      </c>
      <c r="O135" s="375" t="s">
        <v>4</v>
      </c>
      <c r="P135" s="376"/>
      <c r="Q135" s="375" t="s">
        <v>222</v>
      </c>
      <c r="R135" s="375" t="s">
        <v>7</v>
      </c>
      <c r="S135" s="376"/>
      <c r="T135" s="375" t="s">
        <v>222</v>
      </c>
      <c r="U135" s="375" t="s">
        <v>3</v>
      </c>
      <c r="V135" s="376"/>
      <c r="W135" s="375" t="s">
        <v>222</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44410.208333333016</v>
      </c>
      <c r="BZ135" s="387">
        <f ca="1">OFFSET(TblImps[[#This Row],[Servertime]],-1,0)+1/24</f>
        <v>44410.458333333016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44410.24999999968</v>
      </c>
      <c r="M136" s="74">
        <f>IF(ISERROR(TblImps[[#This Row],[algorithm]]),0,TblImps[[#This Row],[algorithm]]*1)</f>
        <v>0</v>
      </c>
      <c r="N136" s="113">
        <f ca="1">TblImps[[#This Row],[Land]]</f>
        <v>250</v>
      </c>
      <c r="O136" s="375" t="s">
        <v>4</v>
      </c>
      <c r="P136" s="376"/>
      <c r="Q136" s="375" t="s">
        <v>222</v>
      </c>
      <c r="R136" s="375" t="s">
        <v>7</v>
      </c>
      <c r="S136" s="376"/>
      <c r="T136" s="375" t="s">
        <v>222</v>
      </c>
      <c r="U136" s="375" t="s">
        <v>3</v>
      </c>
      <c r="V136" s="376"/>
      <c r="W136" s="375" t="s">
        <v>222</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44410.24999999968</v>
      </c>
      <c r="BZ136" s="387">
        <f ca="1">OFFSET(TblImps[[#This Row],[Servertime]],-1,0)+1/24</f>
        <v>44410.49999999968</v>
      </c>
      <c r="CA136" s="141"/>
      <c r="CB136" s="385"/>
      <c r="CC136" s="385"/>
    </row>
    <row r="1269" spans="2:23" x14ac:dyDescent="0.2">
      <c r="B1269" s="585" t="s">
        <v>327</v>
      </c>
      <c r="C1269" s="541"/>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485</v>
      </c>
      <c r="P16" s="42"/>
    </row>
    <row r="27" spans="8:10" ht="12.75" customHeight="1" x14ac:dyDescent="0.2">
      <c r="J27" s="14"/>
    </row>
    <row r="28" spans="8:10" x14ac:dyDescent="0.2">
      <c r="H28" s="30" t="s">
        <v>485</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268</v>
      </c>
      <c r="C2" s="44" t="s">
        <v>1038</v>
      </c>
      <c r="D2" s="44" t="s">
        <v>969</v>
      </c>
      <c r="E2" s="44" t="s">
        <v>1040</v>
      </c>
    </row>
    <row r="3" spans="2:5" ht="15.75" x14ac:dyDescent="0.25">
      <c r="B3" s="43" t="s">
        <v>1017</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1018</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1020</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1019</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1021</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1022</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1023</v>
      </c>
      <c r="C9" s="46" t="s">
        <v>359</v>
      </c>
      <c r="D9" s="43">
        <f>_xlfn.IFNA(INDEX(TblConstr[],MATCH(Log!$I$28,TblConstr[Hour],0),MATCH(TblStats[[#This Row],[Abbr]],TblConstr[#Headers],0)),0)</f>
        <v>0</v>
      </c>
      <c r="E9" s="47" t="e">
        <f>TblStats[[#This Row],[Number]]/INDEX(TblConstr[[Hour]:[Land]],MATCH(Log!$I$28,TblConstr[Hour],0),6)</f>
        <v>#N/A</v>
      </c>
    </row>
    <row r="10" spans="2:5" ht="15.75" x14ac:dyDescent="0.25">
      <c r="B10" s="43" t="s">
        <v>1024</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1025</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1026</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1027</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1028</v>
      </c>
      <c r="C14" s="46" t="s">
        <v>361</v>
      </c>
      <c r="D14" s="43">
        <f>_xlfn.IFNA(INDEX(TblConstr[],MATCH(Log!$I$28,TblConstr[Hour],0),MATCH(TblStats[[#This Row],[Abbr]],TblConstr[#Headers],0)),0)</f>
        <v>0</v>
      </c>
      <c r="E14" s="47" t="e">
        <f>TblStats[[#This Row],[Number]]/INDEX(TblConstr[[Hour]:[Land]],MATCH(Log!$I$28,TblConstr[Hour],0),6)</f>
        <v>#N/A</v>
      </c>
    </row>
    <row r="15" spans="2:5" ht="15.75" x14ac:dyDescent="0.25">
      <c r="B15" s="43" t="s">
        <v>1029</v>
      </c>
      <c r="C15" s="46" t="s">
        <v>364</v>
      </c>
      <c r="D15" s="43">
        <f>_xlfn.IFNA(INDEX(TblConstr[],MATCH(Log!$I$28,TblConstr[Hour],0),MATCH(TblStats[[#This Row],[Abbr]],TblConstr[#Headers],0)),0)</f>
        <v>0</v>
      </c>
      <c r="E15" s="47" t="e">
        <f>TblStats[[#This Row],[Number]]/INDEX(TblConstr[[Hour]:[Land]],MATCH(Log!$I$28,TblConstr[Hour],0),6)</f>
        <v>#N/A</v>
      </c>
    </row>
    <row r="16" spans="2:5" ht="15.75" x14ac:dyDescent="0.25">
      <c r="B16" s="43" t="s">
        <v>1030</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1031</v>
      </c>
      <c r="C17" s="46" t="s">
        <v>362</v>
      </c>
      <c r="D17" s="43">
        <f>_xlfn.IFNA(INDEX(TblConstr[],MATCH(Log!$I$28,TblConstr[Hour],0),MATCH(TblStats[[#This Row],[Abbr]],TblConstr[#Headers],0)),0)</f>
        <v>0</v>
      </c>
      <c r="E17" s="47" t="e">
        <f>TblStats[[#This Row],[Number]]/INDEX(TblConstr[[Hour]:[Land]],MATCH(Log!$I$28,TblConstr[Hour],0),6)</f>
        <v>#N/A</v>
      </c>
    </row>
    <row r="18" spans="2:12" ht="15.75" x14ac:dyDescent="0.25">
      <c r="B18" s="43" t="s">
        <v>1032</v>
      </c>
      <c r="C18" s="46" t="s">
        <v>308</v>
      </c>
      <c r="D18" s="43">
        <f>_xlfn.IFNA(INDEX(TblConstr[],MATCH(Log!$I$28,TblConstr[Hour],0),MATCH(TblStats[[#This Row],[Abbr]],TblConstr[#Headers],0)),0)</f>
        <v>0</v>
      </c>
      <c r="E18" s="47" t="e">
        <f>TblStats[[#This Row],[Number]]/INDEX(TblConstr[[Hour]:[Land]],MATCH(Log!$I$28,TblConstr[Hour],0),6)</f>
        <v>#N/A</v>
      </c>
    </row>
    <row r="19" spans="2:12" ht="15.75" x14ac:dyDescent="0.25">
      <c r="B19" s="43" t="s">
        <v>1033</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1034</v>
      </c>
      <c r="C20" s="46" t="s">
        <v>382</v>
      </c>
      <c r="D20" s="43">
        <f>_xlfn.IFNA(INDEX(TblConstr[],MATCH(Log!$I$28,TblConstr[Hour],0),MATCH(TblStats[[#This Row],[Abbr]],TblConstr[#Headers],0)),0)</f>
        <v>0</v>
      </c>
      <c r="E20" s="47" t="e">
        <f>TblStats[[#This Row],[Number]]/INDEX(TblConstr[[Hour]:[Land]],MATCH(Log!$I$28,TblConstr[Hour],0),6)</f>
        <v>#N/A</v>
      </c>
    </row>
    <row r="21" spans="2:12" ht="15.75" x14ac:dyDescent="0.25">
      <c r="B21" s="43" t="s">
        <v>1035</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1036</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1037</v>
      </c>
      <c r="C23" s="45" t="s">
        <v>1039</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1016</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8"/>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553</v>
      </c>
      <c r="B11" s="97">
        <v>20</v>
      </c>
      <c r="C11" s="97" t="s">
        <v>8</v>
      </c>
    </row>
    <row r="12" spans="1:6" x14ac:dyDescent="0.2">
      <c r="A12" s="401" t="s">
        <v>67</v>
      </c>
      <c r="B12" s="402">
        <v>1.6</v>
      </c>
      <c r="C12" s="97" t="s">
        <v>526</v>
      </c>
      <c r="D12" s="403">
        <v>0.32</v>
      </c>
      <c r="E12" s="97" t="s">
        <v>449</v>
      </c>
    </row>
    <row r="13" spans="1:6" x14ac:dyDescent="0.2">
      <c r="A13" s="401" t="s">
        <v>65</v>
      </c>
      <c r="B13" s="402">
        <v>1.6</v>
      </c>
      <c r="C13" s="97" t="s">
        <v>527</v>
      </c>
      <c r="D13" s="403">
        <v>0.32</v>
      </c>
      <c r="E13" s="97" t="s">
        <v>449</v>
      </c>
    </row>
    <row r="14" spans="1:6" x14ac:dyDescent="0.2">
      <c r="A14" s="401" t="s">
        <v>494</v>
      </c>
      <c r="B14" s="404">
        <v>0</v>
      </c>
      <c r="C14" s="97" t="s">
        <v>497</v>
      </c>
      <c r="D14" s="405"/>
      <c r="F14" s="403"/>
    </row>
    <row r="15" spans="1:6" x14ac:dyDescent="0.2">
      <c r="B15" s="404">
        <v>3.5</v>
      </c>
      <c r="C15" s="97" t="s">
        <v>498</v>
      </c>
      <c r="D15" s="406">
        <v>0.35</v>
      </c>
      <c r="E15" s="97" t="s">
        <v>449</v>
      </c>
      <c r="F15" s="403"/>
    </row>
    <row r="16" spans="1:6" x14ac:dyDescent="0.2">
      <c r="A16" s="401" t="s">
        <v>491</v>
      </c>
      <c r="B16" s="404">
        <v>2.5</v>
      </c>
      <c r="C16" s="97" t="s">
        <v>500</v>
      </c>
      <c r="D16" s="406">
        <v>0.25</v>
      </c>
      <c r="E16" s="97" t="s">
        <v>449</v>
      </c>
      <c r="F16" s="403"/>
    </row>
    <row r="17" spans="1:19" x14ac:dyDescent="0.2">
      <c r="B17" s="404">
        <v>3.5</v>
      </c>
      <c r="C17" s="97" t="s">
        <v>499</v>
      </c>
      <c r="D17" s="406">
        <v>0.35</v>
      </c>
      <c r="E17" s="97" t="s">
        <v>449</v>
      </c>
      <c r="F17" s="403"/>
    </row>
    <row r="18" spans="1:19" x14ac:dyDescent="0.2">
      <c r="A18" s="401" t="s">
        <v>195</v>
      </c>
      <c r="B18" s="404">
        <v>2</v>
      </c>
      <c r="C18" s="97" t="s">
        <v>450</v>
      </c>
      <c r="D18" s="403">
        <v>0.36</v>
      </c>
      <c r="E18" s="97" t="s">
        <v>449</v>
      </c>
    </row>
    <row r="19" spans="1:19" x14ac:dyDescent="0.2">
      <c r="A19" s="401" t="s">
        <v>465</v>
      </c>
      <c r="B19" s="404">
        <v>2.75</v>
      </c>
      <c r="C19" s="97" t="s">
        <v>501</v>
      </c>
    </row>
    <row r="20" spans="1:19" x14ac:dyDescent="0.2">
      <c r="A20" s="401" t="s">
        <v>466</v>
      </c>
      <c r="B20" s="407">
        <v>4</v>
      </c>
      <c r="C20" s="97" t="s">
        <v>467</v>
      </c>
      <c r="D20" s="403">
        <v>0.6</v>
      </c>
      <c r="E20" s="97" t="s">
        <v>449</v>
      </c>
    </row>
    <row r="21" spans="1:19" x14ac:dyDescent="0.2">
      <c r="B21" s="407">
        <v>4</v>
      </c>
      <c r="C21" s="97" t="s">
        <v>468</v>
      </c>
      <c r="D21" s="403">
        <v>0.6</v>
      </c>
      <c r="E21" s="97" t="s">
        <v>449</v>
      </c>
    </row>
    <row r="22" spans="1:19" x14ac:dyDescent="0.2">
      <c r="A22" s="401" t="s">
        <v>1111</v>
      </c>
      <c r="B22" s="407">
        <v>25</v>
      </c>
      <c r="C22" s="97" t="s">
        <v>1112</v>
      </c>
      <c r="D22" s="403">
        <v>0.3</v>
      </c>
      <c r="E22" s="97" t="s">
        <v>449</v>
      </c>
    </row>
    <row r="23" spans="1:19" x14ac:dyDescent="0.2">
      <c r="A23" s="400" t="s">
        <v>80</v>
      </c>
    </row>
    <row r="24" spans="1:19" s="49" customFormat="1" x14ac:dyDescent="0.2">
      <c r="A24" s="408" t="s">
        <v>72</v>
      </c>
      <c r="B24" s="408" t="s">
        <v>71</v>
      </c>
      <c r="C24" s="408" t="s">
        <v>70</v>
      </c>
      <c r="D24" s="408" t="s">
        <v>69</v>
      </c>
      <c r="E24" s="408" t="s">
        <v>68</v>
      </c>
      <c r="F24" s="409" t="s">
        <v>63</v>
      </c>
      <c r="G24" s="409" t="s">
        <v>359</v>
      </c>
      <c r="H24" s="410" t="s">
        <v>64</v>
      </c>
      <c r="I24" s="410" t="s">
        <v>65</v>
      </c>
      <c r="J24" s="411" t="s">
        <v>66</v>
      </c>
      <c r="K24" s="411" t="s">
        <v>67</v>
      </c>
      <c r="L24" s="411" t="s">
        <v>361</v>
      </c>
      <c r="M24" s="412" t="s">
        <v>364</v>
      </c>
      <c r="N24" s="413" t="s">
        <v>74</v>
      </c>
      <c r="O24" s="413" t="s">
        <v>362</v>
      </c>
      <c r="P24" s="413" t="s">
        <v>524</v>
      </c>
      <c r="Q24" s="414" t="s">
        <v>75</v>
      </c>
      <c r="R24" s="414" t="s">
        <v>382</v>
      </c>
      <c r="S24" s="415" t="s">
        <v>76</v>
      </c>
    </row>
    <row r="25" spans="1:19" x14ac:dyDescent="0.2">
      <c r="A25" s="401">
        <v>10</v>
      </c>
      <c r="B25" s="97">
        <v>30</v>
      </c>
      <c r="C25" s="97">
        <v>30</v>
      </c>
      <c r="D25" s="97">
        <v>0</v>
      </c>
      <c r="E25" s="97">
        <v>0</v>
      </c>
      <c r="F25" s="97">
        <v>20</v>
      </c>
      <c r="G25" s="97">
        <v>0</v>
      </c>
      <c r="H25" s="97">
        <v>0</v>
      </c>
      <c r="I25" s="97">
        <v>0</v>
      </c>
      <c r="J25" s="97">
        <v>0</v>
      </c>
      <c r="K25" s="97">
        <v>0</v>
      </c>
      <c r="L25" s="97">
        <v>0</v>
      </c>
      <c r="M25" s="97">
        <v>0</v>
      </c>
      <c r="N25" s="97">
        <v>0</v>
      </c>
      <c r="O25" s="97">
        <v>0</v>
      </c>
      <c r="P25" s="97">
        <v>0</v>
      </c>
      <c r="Q25" s="97">
        <v>0</v>
      </c>
      <c r="R25" s="97">
        <v>0</v>
      </c>
      <c r="S25" s="97">
        <v>0</v>
      </c>
    </row>
    <row r="27" spans="1:19" x14ac:dyDescent="0.2">
      <c r="A27" s="400" t="s">
        <v>79</v>
      </c>
    </row>
    <row r="28" spans="1:19" x14ac:dyDescent="0.2">
      <c r="A28" s="416" t="s">
        <v>55</v>
      </c>
      <c r="B28" s="417" t="s">
        <v>58</v>
      </c>
      <c r="C28" s="418" t="s">
        <v>188</v>
      </c>
      <c r="D28" s="419" t="s">
        <v>59</v>
      </c>
      <c r="E28" s="420" t="s">
        <v>60</v>
      </c>
      <c r="F28" s="421" t="s">
        <v>61</v>
      </c>
      <c r="G28" s="422" t="s">
        <v>62</v>
      </c>
    </row>
    <row r="29" spans="1:19" s="6" customFormat="1" x14ac:dyDescent="0.2">
      <c r="A29" s="401">
        <v>40</v>
      </c>
      <c r="B29" s="97">
        <v>20</v>
      </c>
      <c r="C29" s="97">
        <v>20</v>
      </c>
      <c r="D29" s="97">
        <v>20</v>
      </c>
      <c r="E29" s="97">
        <v>20</v>
      </c>
      <c r="F29" s="97">
        <v>20</v>
      </c>
      <c r="G29" s="97">
        <v>20</v>
      </c>
      <c r="H29" s="97"/>
      <c r="I29" s="97"/>
      <c r="J29" s="97"/>
      <c r="K29" s="97"/>
      <c r="L29" s="97"/>
      <c r="M29" s="97"/>
      <c r="N29" s="97"/>
      <c r="O29" s="97"/>
      <c r="P29" s="97"/>
      <c r="Q29" s="97"/>
      <c r="R29" s="97"/>
      <c r="S29" s="97"/>
    </row>
    <row r="31" spans="1:19" x14ac:dyDescent="0.2">
      <c r="A31" s="400" t="s">
        <v>83</v>
      </c>
      <c r="B31" s="6"/>
      <c r="C31" s="6"/>
      <c r="D31" s="6" t="s">
        <v>245</v>
      </c>
      <c r="E31" s="6"/>
      <c r="F31" s="6"/>
      <c r="G31" s="6"/>
      <c r="H31" s="6"/>
      <c r="I31" s="6"/>
      <c r="J31" s="6"/>
      <c r="K31" s="6"/>
      <c r="L31" s="6" t="s">
        <v>407</v>
      </c>
      <c r="M31" s="6"/>
      <c r="N31" s="6"/>
      <c r="O31" s="6"/>
      <c r="P31" s="6"/>
      <c r="Q31" s="6"/>
      <c r="R31" s="6"/>
      <c r="S31" s="6"/>
    </row>
    <row r="32" spans="1:19" x14ac:dyDescent="0.2">
      <c r="A32" s="401" t="s">
        <v>21</v>
      </c>
      <c r="B32" s="97">
        <f>HLOOKUP(1,E32:J36,2)</f>
        <v>1300</v>
      </c>
      <c r="D32" s="97" t="s">
        <v>448</v>
      </c>
      <c r="E32" s="97">
        <v>1</v>
      </c>
      <c r="F32" s="97">
        <v>2</v>
      </c>
      <c r="G32" s="97">
        <v>3</v>
      </c>
      <c r="H32" s="97">
        <v>4</v>
      </c>
      <c r="I32" s="97">
        <v>5</v>
      </c>
      <c r="J32" s="97">
        <v>6</v>
      </c>
      <c r="L32" s="97" t="s">
        <v>397</v>
      </c>
      <c r="M32" s="403">
        <v>0.1</v>
      </c>
      <c r="N32" s="97" t="s">
        <v>408</v>
      </c>
    </row>
    <row r="33" spans="1:16" x14ac:dyDescent="0.2">
      <c r="A33" s="401" t="s">
        <v>24</v>
      </c>
      <c r="B33" s="97">
        <v>100</v>
      </c>
      <c r="D33" s="97" t="s">
        <v>21</v>
      </c>
      <c r="E33" s="154">
        <v>1300</v>
      </c>
      <c r="F33" s="154">
        <v>1390</v>
      </c>
      <c r="G33" s="154">
        <v>1480</v>
      </c>
      <c r="H33" s="154">
        <v>1570</v>
      </c>
      <c r="I33" s="154">
        <v>1660</v>
      </c>
      <c r="J33" s="154">
        <v>1750</v>
      </c>
      <c r="K33" s="154"/>
      <c r="M33" s="403">
        <v>0.05</v>
      </c>
      <c r="N33" s="97" t="s">
        <v>409</v>
      </c>
    </row>
    <row r="34" spans="1:16" x14ac:dyDescent="0.2">
      <c r="A34" s="401" t="str">
        <f>Overview!$A22</f>
        <v>Spearman</v>
      </c>
      <c r="B34" s="97">
        <v>0</v>
      </c>
      <c r="D34" s="97" t="s">
        <v>2</v>
      </c>
      <c r="E34" s="154">
        <v>100000</v>
      </c>
      <c r="F34" s="154">
        <v>110000</v>
      </c>
      <c r="G34" s="154">
        <v>120000</v>
      </c>
      <c r="H34" s="154">
        <v>130000</v>
      </c>
      <c r="I34" s="154">
        <v>140000</v>
      </c>
      <c r="J34" s="154">
        <v>150000</v>
      </c>
      <c r="M34" s="403">
        <v>0.05</v>
      </c>
      <c r="N34" s="97" t="s">
        <v>410</v>
      </c>
    </row>
    <row r="35" spans="1:16" x14ac:dyDescent="0.2">
      <c r="A35" s="401" t="str">
        <f>Overview!$A23</f>
        <v>Archer</v>
      </c>
      <c r="B35" s="97">
        <v>150</v>
      </c>
      <c r="D35" s="97" t="s">
        <v>5</v>
      </c>
      <c r="E35" s="154">
        <v>15000</v>
      </c>
      <c r="F35" s="154">
        <v>16000</v>
      </c>
      <c r="G35" s="154">
        <v>17000</v>
      </c>
      <c r="H35" s="154">
        <v>18000</v>
      </c>
      <c r="I35" s="154">
        <v>19000</v>
      </c>
      <c r="J35" s="154">
        <v>20000</v>
      </c>
      <c r="L35" s="97" t="s">
        <v>187</v>
      </c>
      <c r="M35" s="403">
        <v>-0.05</v>
      </c>
      <c r="N35" s="97" t="s">
        <v>411</v>
      </c>
    </row>
    <row r="36" spans="1:16" x14ac:dyDescent="0.2">
      <c r="A36" s="401" t="str">
        <f>Overview!$A24</f>
        <v>Knight</v>
      </c>
      <c r="B36" s="97">
        <v>0</v>
      </c>
      <c r="D36" s="97" t="s">
        <v>7</v>
      </c>
      <c r="E36" s="154">
        <v>15000</v>
      </c>
      <c r="F36" s="154">
        <v>15450</v>
      </c>
      <c r="G36" s="154">
        <v>15900</v>
      </c>
      <c r="H36" s="154">
        <v>16350</v>
      </c>
      <c r="I36" s="154">
        <v>16800</v>
      </c>
      <c r="J36" s="154">
        <v>17250</v>
      </c>
      <c r="M36" s="97">
        <v>-1</v>
      </c>
      <c r="N36" s="97" t="s">
        <v>412</v>
      </c>
    </row>
    <row r="37" spans="1:16" x14ac:dyDescent="0.2">
      <c r="A37" s="401" t="str">
        <f>Overview!$A25</f>
        <v>Cavalry</v>
      </c>
      <c r="B37" s="97">
        <v>0</v>
      </c>
      <c r="M37" s="403">
        <v>-0.1</v>
      </c>
      <c r="N37" s="97" t="s">
        <v>411</v>
      </c>
      <c r="O37" s="97">
        <v>-2</v>
      </c>
      <c r="P37" s="97" t="s">
        <v>412</v>
      </c>
    </row>
    <row r="38" spans="1:16" x14ac:dyDescent="0.2">
      <c r="A38" s="401" t="s">
        <v>25</v>
      </c>
      <c r="B38" s="97">
        <v>25</v>
      </c>
      <c r="D38" s="97" t="s">
        <v>381</v>
      </c>
      <c r="E38" s="154">
        <v>1</v>
      </c>
      <c r="F38" s="97">
        <v>2</v>
      </c>
      <c r="G38" s="97">
        <v>3</v>
      </c>
      <c r="H38" s="97">
        <v>4</v>
      </c>
      <c r="I38" s="97">
        <v>5</v>
      </c>
      <c r="J38" s="97">
        <v>6</v>
      </c>
      <c r="L38" s="97" t="s">
        <v>290</v>
      </c>
      <c r="M38" s="403">
        <v>-0.1</v>
      </c>
      <c r="N38" s="97" t="s">
        <v>413</v>
      </c>
    </row>
    <row r="39" spans="1:16" x14ac:dyDescent="0.2">
      <c r="A39" s="401" t="s">
        <v>26</v>
      </c>
      <c r="B39" s="97">
        <v>25</v>
      </c>
      <c r="D39" s="97" t="s">
        <v>21</v>
      </c>
      <c r="E39" s="97">
        <v>1200</v>
      </c>
      <c r="F39" s="97">
        <v>1325</v>
      </c>
      <c r="G39" s="97">
        <v>1450</v>
      </c>
      <c r="H39" s="97">
        <v>1575</v>
      </c>
      <c r="I39" s="97">
        <v>1700</v>
      </c>
      <c r="J39" s="97">
        <v>1825</v>
      </c>
      <c r="M39" s="403">
        <v>-0.1</v>
      </c>
      <c r="N39" s="97" t="s">
        <v>414</v>
      </c>
    </row>
    <row r="40" spans="1:16" x14ac:dyDescent="0.2">
      <c r="A40" s="401" t="s">
        <v>27</v>
      </c>
      <c r="B40" s="97">
        <v>0</v>
      </c>
      <c r="D40" s="97" t="s">
        <v>2</v>
      </c>
      <c r="E40" s="97">
        <v>100000</v>
      </c>
      <c r="F40" s="97">
        <v>104750</v>
      </c>
      <c r="G40" s="97">
        <v>109500</v>
      </c>
      <c r="H40" s="97">
        <v>114250</v>
      </c>
      <c r="I40" s="97">
        <v>119000</v>
      </c>
      <c r="J40" s="97">
        <v>123750</v>
      </c>
      <c r="M40" s="403">
        <v>0.02</v>
      </c>
      <c r="N40" s="97" t="s">
        <v>415</v>
      </c>
    </row>
    <row r="41" spans="1:16" x14ac:dyDescent="0.2">
      <c r="D41" s="97" t="s">
        <v>5</v>
      </c>
      <c r="E41" s="97">
        <v>15000</v>
      </c>
      <c r="F41" s="97">
        <v>16000</v>
      </c>
      <c r="G41" s="97">
        <v>17000</v>
      </c>
      <c r="H41" s="97">
        <v>18000</v>
      </c>
      <c r="I41" s="97">
        <v>19000</v>
      </c>
      <c r="J41" s="97">
        <v>20000</v>
      </c>
      <c r="L41" s="97" t="s">
        <v>22</v>
      </c>
      <c r="M41" s="403">
        <v>-0.1</v>
      </c>
      <c r="N41" s="97" t="s">
        <v>416</v>
      </c>
    </row>
    <row r="42" spans="1:16" x14ac:dyDescent="0.2">
      <c r="A42" s="400" t="s">
        <v>78</v>
      </c>
      <c r="D42" s="97" t="s">
        <v>7</v>
      </c>
      <c r="E42" s="97">
        <v>15000</v>
      </c>
      <c r="F42" s="97">
        <v>15450</v>
      </c>
      <c r="G42" s="97">
        <v>15900</v>
      </c>
      <c r="H42" s="97">
        <v>16350</v>
      </c>
      <c r="I42" s="97">
        <v>16800</v>
      </c>
      <c r="J42" s="97">
        <v>17250</v>
      </c>
      <c r="M42" s="403">
        <v>-0.1</v>
      </c>
      <c r="N42" s="97" t="s">
        <v>417</v>
      </c>
    </row>
    <row r="43" spans="1:16" x14ac:dyDescent="0.2">
      <c r="A43" s="401" t="s">
        <v>2</v>
      </c>
      <c r="B43" s="154">
        <f>HLOOKUP(1,E32:J36,3)</f>
        <v>100000</v>
      </c>
      <c r="C43" s="154"/>
      <c r="M43" s="403">
        <v>0.05</v>
      </c>
      <c r="N43" s="97" t="s">
        <v>305</v>
      </c>
    </row>
    <row r="44" spans="1:16" x14ac:dyDescent="0.2">
      <c r="A44" s="401" t="s">
        <v>5</v>
      </c>
      <c r="B44" s="154">
        <f>HLOOKUP(1,E32:J36,4)</f>
        <v>15000</v>
      </c>
      <c r="C44" s="154"/>
      <c r="D44" s="97" t="s">
        <v>453</v>
      </c>
      <c r="L44" s="97" t="s">
        <v>73</v>
      </c>
      <c r="M44" s="403">
        <v>-0.1</v>
      </c>
      <c r="N44" s="97" t="s">
        <v>418</v>
      </c>
    </row>
    <row r="45" spans="1:16" x14ac:dyDescent="0.2">
      <c r="A45" s="401" t="s">
        <v>81</v>
      </c>
      <c r="B45" s="154">
        <f>HLOOKUP(1,E32:J36,5)</f>
        <v>15000</v>
      </c>
      <c r="C45" s="154"/>
      <c r="D45" s="97" t="s">
        <v>21</v>
      </c>
      <c r="E45" s="97">
        <v>100</v>
      </c>
      <c r="M45" s="403">
        <v>-0.2</v>
      </c>
      <c r="N45" s="97" t="s">
        <v>419</v>
      </c>
    </row>
    <row r="46" spans="1:16" x14ac:dyDescent="0.2">
      <c r="A46" s="401" t="s">
        <v>12</v>
      </c>
      <c r="B46" s="154">
        <v>0</v>
      </c>
      <c r="C46" s="154"/>
      <c r="D46" s="97" t="s">
        <v>2</v>
      </c>
      <c r="E46" s="97">
        <v>5000</v>
      </c>
      <c r="M46" s="97">
        <v>1</v>
      </c>
      <c r="N46" s="97" t="s">
        <v>420</v>
      </c>
    </row>
    <row r="47" spans="1:16" x14ac:dyDescent="0.2">
      <c r="A47" s="401" t="s">
        <v>3</v>
      </c>
      <c r="B47" s="154">
        <v>0</v>
      </c>
      <c r="C47" s="154"/>
      <c r="D47" s="97" t="s">
        <v>5</v>
      </c>
      <c r="E47" s="97">
        <v>1500</v>
      </c>
      <c r="L47" s="97" t="s">
        <v>193</v>
      </c>
      <c r="M47" s="403">
        <v>-0.1</v>
      </c>
      <c r="N47" s="97" t="s">
        <v>421</v>
      </c>
    </row>
    <row r="48" spans="1:16" x14ac:dyDescent="0.2">
      <c r="A48" s="401" t="s">
        <v>4</v>
      </c>
      <c r="B48" s="154">
        <v>10000</v>
      </c>
      <c r="C48" s="154"/>
      <c r="D48" s="97" t="s">
        <v>7</v>
      </c>
      <c r="E48" s="97">
        <v>2500</v>
      </c>
      <c r="M48" s="403">
        <v>-0.2</v>
      </c>
      <c r="N48" s="97" t="s">
        <v>422</v>
      </c>
    </row>
    <row r="49" spans="1:21" x14ac:dyDescent="0.2">
      <c r="A49" s="401" t="s">
        <v>82</v>
      </c>
      <c r="B49" s="154">
        <v>0</v>
      </c>
      <c r="C49" s="154"/>
      <c r="D49" s="97" t="s">
        <v>3</v>
      </c>
      <c r="E49" s="97">
        <v>2500</v>
      </c>
      <c r="M49" s="97">
        <v>1</v>
      </c>
      <c r="N49" s="97" t="s">
        <v>423</v>
      </c>
    </row>
    <row r="50" spans="1:21" x14ac:dyDescent="0.2">
      <c r="D50" s="97" t="s">
        <v>12</v>
      </c>
      <c r="E50" s="97">
        <v>1000</v>
      </c>
      <c r="L50" s="97" t="s">
        <v>398</v>
      </c>
      <c r="M50" s="403">
        <v>-0.1</v>
      </c>
      <c r="N50" s="97" t="s">
        <v>424</v>
      </c>
    </row>
    <row r="51" spans="1:21" x14ac:dyDescent="0.2">
      <c r="A51" s="400" t="s">
        <v>86</v>
      </c>
      <c r="D51" s="97" t="s">
        <v>454</v>
      </c>
      <c r="E51" s="97">
        <v>30</v>
      </c>
      <c r="L51" s="97" t="s">
        <v>399</v>
      </c>
      <c r="M51" s="403">
        <v>0.2</v>
      </c>
      <c r="N51" s="97" t="s">
        <v>425</v>
      </c>
      <c r="O51" s="403">
        <v>0.1</v>
      </c>
      <c r="P51" s="97" t="s">
        <v>409</v>
      </c>
    </row>
    <row r="52" spans="1:21" x14ac:dyDescent="0.2">
      <c r="A52" s="401" t="s">
        <v>21</v>
      </c>
      <c r="B52" s="423">
        <v>0.03</v>
      </c>
      <c r="D52" s="97" t="s">
        <v>455</v>
      </c>
      <c r="E52" s="97">
        <v>30</v>
      </c>
      <c r="L52" s="97" t="s">
        <v>400</v>
      </c>
      <c r="M52" s="424">
        <v>0.06</v>
      </c>
      <c r="N52" s="97" t="s">
        <v>415</v>
      </c>
    </row>
    <row r="53" spans="1:21" x14ac:dyDescent="0.2">
      <c r="A53" s="401" t="s">
        <v>24</v>
      </c>
      <c r="B53" s="423">
        <v>0.01</v>
      </c>
      <c r="L53" s="97" t="s">
        <v>401</v>
      </c>
      <c r="M53" s="425">
        <v>0.125</v>
      </c>
      <c r="N53" s="97" t="s">
        <v>410</v>
      </c>
    </row>
    <row r="54" spans="1:21" x14ac:dyDescent="0.2">
      <c r="A54" s="401" t="s">
        <v>14</v>
      </c>
      <c r="B54" s="423">
        <v>0.01</v>
      </c>
      <c r="L54" s="97" t="s">
        <v>402</v>
      </c>
      <c r="M54" s="403">
        <v>-0.3</v>
      </c>
      <c r="N54" s="97" t="s">
        <v>426</v>
      </c>
    </row>
    <row r="55" spans="1:21" x14ac:dyDescent="0.2">
      <c r="A55" s="401" t="s">
        <v>16</v>
      </c>
      <c r="B55" s="423">
        <v>0.01</v>
      </c>
      <c r="L55" s="97" t="s">
        <v>403</v>
      </c>
      <c r="M55" s="403">
        <v>-0.2</v>
      </c>
      <c r="N55" s="97" t="s">
        <v>411</v>
      </c>
      <c r="O55" s="403">
        <v>0.15</v>
      </c>
      <c r="P55" s="97" t="s">
        <v>427</v>
      </c>
    </row>
    <row r="56" spans="1:21" x14ac:dyDescent="0.2">
      <c r="A56" s="401" t="s">
        <v>15</v>
      </c>
      <c r="B56" s="423">
        <v>0.02</v>
      </c>
      <c r="L56" s="97" t="s">
        <v>404</v>
      </c>
      <c r="M56" s="403">
        <v>-0.25</v>
      </c>
      <c r="N56" s="97" t="s">
        <v>428</v>
      </c>
    </row>
    <row r="57" spans="1:21" x14ac:dyDescent="0.2">
      <c r="L57" s="97" t="s">
        <v>405</v>
      </c>
      <c r="M57" s="403">
        <v>0.1</v>
      </c>
      <c r="N57" s="97" t="s">
        <v>305</v>
      </c>
      <c r="O57" s="403">
        <v>0.15</v>
      </c>
      <c r="P57" s="97" t="s">
        <v>429</v>
      </c>
    </row>
    <row r="58" spans="1:21" x14ac:dyDescent="0.2">
      <c r="L58" s="97" t="s">
        <v>406</v>
      </c>
      <c r="M58" s="97">
        <v>3</v>
      </c>
      <c r="N58" s="97" t="s">
        <v>430</v>
      </c>
    </row>
    <row r="59" spans="1:21" x14ac:dyDescent="0.2">
      <c r="A59" s="401" t="s">
        <v>87</v>
      </c>
      <c r="B59" s="97">
        <v>0.25</v>
      </c>
      <c r="C59" s="97" t="s">
        <v>88</v>
      </c>
      <c r="U59" s="424"/>
    </row>
    <row r="60" spans="1:21" x14ac:dyDescent="0.2">
      <c r="A60" s="401" t="s">
        <v>177</v>
      </c>
      <c r="B60" s="97">
        <v>2.7</v>
      </c>
      <c r="C60" s="97" t="s">
        <v>178</v>
      </c>
      <c r="T60" s="426"/>
      <c r="U60" s="424"/>
    </row>
    <row r="61" spans="1:21" x14ac:dyDescent="0.2">
      <c r="L61" s="97" t="s">
        <v>33</v>
      </c>
      <c r="M61" s="97">
        <v>6.4</v>
      </c>
      <c r="N61" s="97" t="s">
        <v>484</v>
      </c>
      <c r="U61" s="424"/>
    </row>
    <row r="62" spans="1:21" x14ac:dyDescent="0.2">
      <c r="A62" s="400" t="s">
        <v>180</v>
      </c>
    </row>
    <row r="63" spans="1:21" x14ac:dyDescent="0.2">
      <c r="A63" s="401" t="s">
        <v>356</v>
      </c>
      <c r="B63" s="97">
        <v>35</v>
      </c>
      <c r="C63" s="97" t="s">
        <v>357</v>
      </c>
      <c r="D63" s="97" t="s">
        <v>358</v>
      </c>
      <c r="L63" s="97" t="s">
        <v>483</v>
      </c>
      <c r="M63" s="97">
        <v>3780</v>
      </c>
      <c r="U63" s="403"/>
    </row>
    <row r="64" spans="1:21" x14ac:dyDescent="0.2">
      <c r="A64" s="401" t="s">
        <v>182</v>
      </c>
      <c r="B64" s="97">
        <v>30</v>
      </c>
      <c r="C64" s="97" t="s">
        <v>281</v>
      </c>
    </row>
    <row r="65" spans="1:21" x14ac:dyDescent="0.2">
      <c r="A65" s="401" t="s">
        <v>490</v>
      </c>
      <c r="B65" s="97">
        <v>15</v>
      </c>
      <c r="C65" s="97" t="s">
        <v>281</v>
      </c>
      <c r="L65" s="6" t="s">
        <v>650</v>
      </c>
      <c r="U65" s="403"/>
    </row>
    <row r="66" spans="1:21" x14ac:dyDescent="0.2">
      <c r="A66" s="401" t="s">
        <v>360</v>
      </c>
      <c r="B66" s="97">
        <v>15</v>
      </c>
      <c r="C66" s="97" t="s">
        <v>281</v>
      </c>
      <c r="L66" s="426" t="s">
        <v>555</v>
      </c>
      <c r="M66" s="528">
        <v>2.5000000000000001E-2</v>
      </c>
      <c r="N66" s="97" t="s">
        <v>655</v>
      </c>
      <c r="U66" s="403"/>
    </row>
    <row r="67" spans="1:21" x14ac:dyDescent="0.2">
      <c r="A67" s="401" t="s">
        <v>181</v>
      </c>
      <c r="B67" s="97">
        <v>15</v>
      </c>
      <c r="C67" s="97" t="str">
        <f>C64</f>
        <v>peasants</v>
      </c>
      <c r="L67" s="426" t="s">
        <v>557</v>
      </c>
      <c r="M67" s="528">
        <v>7.4999999999999997E-2</v>
      </c>
      <c r="N67" s="97" t="s">
        <v>656</v>
      </c>
    </row>
    <row r="68" spans="1:21" x14ac:dyDescent="0.2">
      <c r="A68" s="401" t="s">
        <v>282</v>
      </c>
      <c r="B68" s="97">
        <f>IF(OR(Overview!$B$14="Halfling",Overview!$B$14="Dwarf",Overview!$B$14="Gnome"),10,5)</f>
        <v>5</v>
      </c>
      <c r="L68" s="97" t="s">
        <v>559</v>
      </c>
      <c r="M68" s="2">
        <v>0.05</v>
      </c>
      <c r="N68" s="97" t="s">
        <v>657</v>
      </c>
    </row>
    <row r="69" spans="1:21" x14ac:dyDescent="0.2">
      <c r="L69" s="97" t="s">
        <v>561</v>
      </c>
      <c r="M69" s="528">
        <v>7.4999999999999997E-2</v>
      </c>
      <c r="N69" s="97" t="s">
        <v>655</v>
      </c>
      <c r="T69" s="426"/>
      <c r="U69" s="424"/>
    </row>
    <row r="70" spans="1:21" x14ac:dyDescent="0.2">
      <c r="A70" s="427" t="s">
        <v>283</v>
      </c>
      <c r="L70" s="97" t="s">
        <v>563</v>
      </c>
      <c r="M70" s="528">
        <v>2.5000000000000001E-2</v>
      </c>
      <c r="N70" s="97" t="s">
        <v>658</v>
      </c>
      <c r="T70" s="91"/>
      <c r="U70" s="424"/>
    </row>
    <row r="71" spans="1:21" x14ac:dyDescent="0.2">
      <c r="A71" s="401" t="str">
        <f>CONCATENATE("Your race is ",Overview!B14)</f>
        <v>Your race is Human</v>
      </c>
      <c r="L71" s="97" t="s">
        <v>565</v>
      </c>
      <c r="M71" s="2">
        <v>0.05</v>
      </c>
      <c r="N71" s="97" t="s">
        <v>694</v>
      </c>
      <c r="S71" s="428"/>
      <c r="T71" s="428"/>
      <c r="U71" s="403"/>
    </row>
    <row r="72" spans="1:21" x14ac:dyDescent="0.2">
      <c r="L72" s="97" t="s">
        <v>566</v>
      </c>
      <c r="M72" s="2">
        <v>0.1</v>
      </c>
      <c r="N72" s="97" t="s">
        <v>779</v>
      </c>
      <c r="S72" s="428"/>
      <c r="T72" s="428"/>
      <c r="U72" s="403"/>
    </row>
    <row r="73" spans="1:21" x14ac:dyDescent="0.2">
      <c r="A73" s="400" t="s">
        <v>213</v>
      </c>
      <c r="B73" s="97" t="s">
        <v>284</v>
      </c>
      <c r="F73" s="97" t="s">
        <v>218</v>
      </c>
      <c r="L73" s="97" t="s">
        <v>567</v>
      </c>
      <c r="M73" s="2">
        <v>-0.1</v>
      </c>
      <c r="N73" s="97" t="s">
        <v>692</v>
      </c>
      <c r="O73" s="97" t="s">
        <v>661</v>
      </c>
      <c r="S73" s="426"/>
      <c r="T73" s="428"/>
      <c r="U73" s="403"/>
    </row>
    <row r="74" spans="1:21" x14ac:dyDescent="0.2">
      <c r="A74" s="401" t="s">
        <v>208</v>
      </c>
      <c r="B74" s="97">
        <v>2</v>
      </c>
      <c r="C74" s="97" t="s">
        <v>214</v>
      </c>
      <c r="D74" s="423"/>
      <c r="F74" s="423">
        <v>0.1</v>
      </c>
      <c r="G74" s="97" t="s">
        <v>107</v>
      </c>
      <c r="L74" s="97" t="s">
        <v>568</v>
      </c>
      <c r="M74" s="2">
        <v>-0.05</v>
      </c>
      <c r="N74" s="97" t="s">
        <v>699</v>
      </c>
      <c r="O74" s="403">
        <v>-0.15</v>
      </c>
      <c r="P74" s="97" t="s">
        <v>676</v>
      </c>
      <c r="S74" s="428"/>
      <c r="T74" s="428"/>
      <c r="U74" s="424"/>
    </row>
    <row r="75" spans="1:21" x14ac:dyDescent="0.2">
      <c r="A75" s="401" t="s">
        <v>209</v>
      </c>
      <c r="B75" s="97">
        <v>2</v>
      </c>
      <c r="C75" s="97" t="s">
        <v>214</v>
      </c>
      <c r="D75" s="423"/>
      <c r="F75" s="423">
        <v>0.1</v>
      </c>
      <c r="G75" s="97" t="s">
        <v>110</v>
      </c>
      <c r="L75" s="97" t="s">
        <v>570</v>
      </c>
      <c r="M75" s="528">
        <v>-2.5000000000000001E-2</v>
      </c>
      <c r="N75" s="97" t="s">
        <v>662</v>
      </c>
      <c r="S75" s="428"/>
      <c r="T75" s="428"/>
      <c r="U75" s="403"/>
    </row>
    <row r="76" spans="1:21" x14ac:dyDescent="0.2">
      <c r="A76" s="401" t="s">
        <v>215</v>
      </c>
      <c r="B76" s="97">
        <v>2.5</v>
      </c>
      <c r="C76" s="97" t="s">
        <v>214</v>
      </c>
      <c r="D76" s="423"/>
      <c r="F76" s="423">
        <v>0.1</v>
      </c>
      <c r="G76" s="97" t="s">
        <v>32</v>
      </c>
      <c r="L76" s="97" t="s">
        <v>572</v>
      </c>
      <c r="M76" s="2">
        <v>-0.1</v>
      </c>
      <c r="N76" s="97" t="s">
        <v>780</v>
      </c>
      <c r="S76" s="428"/>
      <c r="T76" s="428"/>
    </row>
    <row r="77" spans="1:21" x14ac:dyDescent="0.2">
      <c r="A77" s="401" t="s">
        <v>212</v>
      </c>
      <c r="B77" s="97">
        <v>2.5</v>
      </c>
      <c r="C77" s="97" t="s">
        <v>214</v>
      </c>
      <c r="D77" s="423"/>
      <c r="F77" s="423">
        <v>0.5</v>
      </c>
      <c r="G77" s="97" t="s">
        <v>219</v>
      </c>
      <c r="M77"/>
      <c r="S77" s="426"/>
      <c r="T77" s="428"/>
    </row>
    <row r="78" spans="1:21" x14ac:dyDescent="0.2">
      <c r="A78" s="401" t="s">
        <v>216</v>
      </c>
      <c r="B78" s="97">
        <v>2.5</v>
      </c>
      <c r="C78" s="97" t="s">
        <v>214</v>
      </c>
      <c r="D78" s="423"/>
      <c r="F78" s="423">
        <v>0.1</v>
      </c>
      <c r="G78" s="97" t="s">
        <v>106</v>
      </c>
      <c r="L78" s="97" t="s">
        <v>573</v>
      </c>
      <c r="M78" s="528">
        <v>-0.1</v>
      </c>
      <c r="N78" s="97" t="s">
        <v>664</v>
      </c>
      <c r="S78" s="426"/>
      <c r="T78" s="428"/>
      <c r="U78" s="424"/>
    </row>
    <row r="79" spans="1:21" x14ac:dyDescent="0.2">
      <c r="A79" s="401" t="s">
        <v>545</v>
      </c>
      <c r="B79" s="97">
        <v>5</v>
      </c>
      <c r="C79" s="97" t="s">
        <v>214</v>
      </c>
      <c r="D79" s="423"/>
      <c r="F79" s="423">
        <v>0.2</v>
      </c>
      <c r="G79" s="97" t="s">
        <v>110</v>
      </c>
      <c r="H79" s="97" t="s">
        <v>258</v>
      </c>
      <c r="L79" s="97" t="s">
        <v>574</v>
      </c>
      <c r="M79" s="2">
        <v>0.15</v>
      </c>
      <c r="N79" s="97" t="s">
        <v>665</v>
      </c>
      <c r="S79" s="426"/>
      <c r="T79" s="428"/>
      <c r="U79" s="403"/>
    </row>
    <row r="80" spans="1:21" x14ac:dyDescent="0.2">
      <c r="A80" s="401" t="s">
        <v>546</v>
      </c>
      <c r="B80" s="97">
        <v>5</v>
      </c>
      <c r="C80" s="97" t="s">
        <v>214</v>
      </c>
      <c r="D80" s="423"/>
      <c r="F80" s="423">
        <v>0.3</v>
      </c>
      <c r="G80" s="97" t="s">
        <v>547</v>
      </c>
      <c r="L80" s="97" t="s">
        <v>575</v>
      </c>
      <c r="M80" s="2">
        <v>-0.05</v>
      </c>
      <c r="N80" s="97" t="s">
        <v>666</v>
      </c>
      <c r="S80" s="426"/>
      <c r="T80" s="428"/>
      <c r="U80" s="403"/>
    </row>
    <row r="81" spans="1:23" x14ac:dyDescent="0.2">
      <c r="A81" s="401" t="s">
        <v>273</v>
      </c>
      <c r="B81" s="97">
        <f>B79</f>
        <v>5</v>
      </c>
      <c r="C81" s="97" t="str">
        <f>C79</f>
        <v>* Landsize</v>
      </c>
      <c r="D81" s="403"/>
      <c r="F81" s="423">
        <v>0.2</v>
      </c>
      <c r="G81" s="97" t="s">
        <v>32</v>
      </c>
      <c r="H81" s="97" t="s">
        <v>270</v>
      </c>
      <c r="L81" s="97" t="s">
        <v>577</v>
      </c>
      <c r="M81" s="2">
        <v>-0.2</v>
      </c>
      <c r="N81" s="97" t="s">
        <v>667</v>
      </c>
      <c r="S81" s="426"/>
      <c r="T81" s="428"/>
      <c r="U81" s="403"/>
    </row>
    <row r="82" spans="1:23" x14ac:dyDescent="0.2">
      <c r="A82" s="401" t="s">
        <v>272</v>
      </c>
      <c r="B82" s="97">
        <f>B79</f>
        <v>5</v>
      </c>
      <c r="C82" s="97" t="str">
        <f>C79</f>
        <v>* Landsize</v>
      </c>
      <c r="D82" s="403"/>
      <c r="F82" s="423">
        <v>0.1</v>
      </c>
      <c r="G82" s="97" t="s">
        <v>31</v>
      </c>
      <c r="L82" s="97" t="s">
        <v>579</v>
      </c>
      <c r="M82" s="2">
        <v>0.01</v>
      </c>
      <c r="N82" s="97" t="s">
        <v>668</v>
      </c>
      <c r="O82" s="97" t="s">
        <v>661</v>
      </c>
      <c r="S82" s="426"/>
      <c r="T82" s="428"/>
      <c r="U82" s="403"/>
    </row>
    <row r="83" spans="1:23" x14ac:dyDescent="0.2">
      <c r="A83" s="401" t="s">
        <v>310</v>
      </c>
      <c r="B83" s="97">
        <v>5</v>
      </c>
      <c r="C83" s="97" t="str">
        <f>C82</f>
        <v>* Landsize</v>
      </c>
      <c r="D83" s="403"/>
      <c r="F83" s="403">
        <v>0.2</v>
      </c>
      <c r="G83" s="173" t="s">
        <v>107</v>
      </c>
      <c r="H83" s="403">
        <v>0.1</v>
      </c>
      <c r="I83" s="97" t="s">
        <v>108</v>
      </c>
      <c r="L83" s="97" t="s">
        <v>580</v>
      </c>
      <c r="M83" s="529">
        <v>-2.5000000000000001E-2</v>
      </c>
      <c r="N83" s="97" t="s">
        <v>660</v>
      </c>
      <c r="O83" s="424">
        <v>-2.5000000000000001E-2</v>
      </c>
      <c r="P83" s="97" t="s">
        <v>781</v>
      </c>
      <c r="S83" s="428"/>
      <c r="T83" s="428"/>
    </row>
    <row r="84" spans="1:23" x14ac:dyDescent="0.2">
      <c r="A84" s="401" t="s">
        <v>347</v>
      </c>
      <c r="B84" s="97">
        <f>B83</f>
        <v>5</v>
      </c>
      <c r="C84" s="97" t="str">
        <f>C83</f>
        <v>* Landsize</v>
      </c>
      <c r="D84" s="403"/>
      <c r="F84" s="403">
        <v>0.1</v>
      </c>
      <c r="G84" s="173" t="s">
        <v>31</v>
      </c>
      <c r="H84" s="403">
        <v>0.1</v>
      </c>
      <c r="I84" s="97" t="s">
        <v>32</v>
      </c>
      <c r="L84" s="97" t="s">
        <v>582</v>
      </c>
      <c r="M84">
        <v>1.25</v>
      </c>
      <c r="N84" s="97" t="s">
        <v>696</v>
      </c>
      <c r="S84" s="428"/>
      <c r="T84" s="428"/>
      <c r="U84" s="424"/>
    </row>
    <row r="85" spans="1:23" x14ac:dyDescent="0.2">
      <c r="A85" s="401" t="s">
        <v>346</v>
      </c>
      <c r="B85" s="97">
        <f>B84</f>
        <v>5</v>
      </c>
      <c r="C85" s="97" t="str">
        <f>C84</f>
        <v>* Landsize</v>
      </c>
      <c r="D85" s="403"/>
      <c r="F85" s="403">
        <v>0.15</v>
      </c>
      <c r="G85" s="173" t="s">
        <v>32</v>
      </c>
      <c r="H85" s="403" t="s">
        <v>348</v>
      </c>
      <c r="L85" s="97" t="s">
        <v>584</v>
      </c>
      <c r="M85" s="2">
        <v>-0.15</v>
      </c>
      <c r="N85" s="97" t="s">
        <v>664</v>
      </c>
      <c r="S85" s="428"/>
      <c r="T85" s="428"/>
      <c r="U85" s="403"/>
    </row>
    <row r="86" spans="1:23" x14ac:dyDescent="0.2">
      <c r="A86" s="401" t="s">
        <v>353</v>
      </c>
      <c r="B86" s="97">
        <v>5</v>
      </c>
      <c r="C86" s="429" t="str">
        <f>C85</f>
        <v>* Landsize</v>
      </c>
      <c r="D86" s="403"/>
      <c r="F86" s="430">
        <v>15</v>
      </c>
      <c r="G86" s="173" t="s">
        <v>354</v>
      </c>
      <c r="H86" s="403"/>
      <c r="L86" s="97" t="s">
        <v>585</v>
      </c>
      <c r="M86" s="528">
        <v>-2.5000000000000001E-2</v>
      </c>
      <c r="N86" s="97" t="s">
        <v>660</v>
      </c>
      <c r="O86" s="97">
        <v>-1</v>
      </c>
      <c r="P86" s="97" t="s">
        <v>693</v>
      </c>
      <c r="S86" s="428"/>
      <c r="T86" s="428"/>
      <c r="U86" s="403"/>
    </row>
    <row r="87" spans="1:23" x14ac:dyDescent="0.2">
      <c r="A87" s="401" t="s">
        <v>438</v>
      </c>
      <c r="B87" s="97">
        <v>5</v>
      </c>
      <c r="C87" s="97" t="str">
        <f>C86</f>
        <v>* Landsize</v>
      </c>
      <c r="D87" s="403"/>
      <c r="F87" s="403">
        <v>0.05</v>
      </c>
      <c r="G87" s="173" t="s">
        <v>31</v>
      </c>
      <c r="L87" s="97" t="s">
        <v>586</v>
      </c>
      <c r="M87" s="528">
        <v>-2.5000000000000001E-2</v>
      </c>
      <c r="N87" s="97" t="s">
        <v>666</v>
      </c>
      <c r="S87" s="426"/>
      <c r="T87" s="428"/>
      <c r="U87" s="424"/>
    </row>
    <row r="88" spans="1:23" x14ac:dyDescent="0.2">
      <c r="M88"/>
      <c r="S88" s="426"/>
      <c r="T88" s="428"/>
    </row>
    <row r="89" spans="1:23" x14ac:dyDescent="0.2">
      <c r="A89" s="400" t="s">
        <v>82</v>
      </c>
      <c r="L89" s="97" t="s">
        <v>588</v>
      </c>
      <c r="M89" s="2">
        <v>0.05</v>
      </c>
      <c r="N89" s="97" t="s">
        <v>669</v>
      </c>
      <c r="S89" s="426"/>
      <c r="T89" s="428"/>
    </row>
    <row r="90" spans="1:23" x14ac:dyDescent="0.2">
      <c r="A90" s="401" t="s">
        <v>280</v>
      </c>
      <c r="B90" s="97">
        <f>IF(Overview!$B$14="Kobold",40,30)</f>
        <v>30</v>
      </c>
      <c r="C90" s="97" t="s">
        <v>251</v>
      </c>
      <c r="L90" s="97" t="s">
        <v>590</v>
      </c>
      <c r="M90" s="528">
        <v>2.5000000000000001E-2</v>
      </c>
      <c r="N90" s="97" t="s">
        <v>671</v>
      </c>
      <c r="S90" s="426"/>
      <c r="T90" s="428"/>
      <c r="U90" s="424"/>
    </row>
    <row r="91" spans="1:23" x14ac:dyDescent="0.2">
      <c r="L91" s="97" t="s">
        <v>592</v>
      </c>
      <c r="M91" s="528">
        <v>7.4999999999999997E-2</v>
      </c>
      <c r="N91" s="97" t="s">
        <v>672</v>
      </c>
      <c r="O91" s="425">
        <v>7.4999999999999997E-2</v>
      </c>
      <c r="P91" s="97" t="s">
        <v>673</v>
      </c>
      <c r="S91" s="426"/>
      <c r="T91" s="428"/>
      <c r="U91" s="424"/>
      <c r="W91" s="403"/>
    </row>
    <row r="92" spans="1:23" x14ac:dyDescent="0.2">
      <c r="A92" s="400" t="s">
        <v>363</v>
      </c>
      <c r="L92" s="97" t="s">
        <v>593</v>
      </c>
      <c r="M92" s="528">
        <v>7.4999999999999997E-2</v>
      </c>
      <c r="N92" s="97" t="s">
        <v>656</v>
      </c>
      <c r="O92" s="403">
        <v>0.05</v>
      </c>
      <c r="P92" s="97" t="s">
        <v>674</v>
      </c>
      <c r="S92" s="426"/>
      <c r="T92" s="428"/>
      <c r="U92" s="424"/>
      <c r="W92" s="403"/>
    </row>
    <row r="93" spans="1:23" x14ac:dyDescent="0.2">
      <c r="A93" s="401" t="s">
        <v>519</v>
      </c>
      <c r="B93" s="97">
        <v>250</v>
      </c>
      <c r="L93" s="97" t="s">
        <v>595</v>
      </c>
      <c r="M93" s="528">
        <v>-1.7500000000000002E-2</v>
      </c>
      <c r="N93" s="97" t="s">
        <v>659</v>
      </c>
      <c r="S93" s="428"/>
      <c r="T93" s="428"/>
    </row>
    <row r="94" spans="1:23" x14ac:dyDescent="0.2">
      <c r="A94" s="401" t="s">
        <v>520</v>
      </c>
      <c r="B94" s="403">
        <v>0.01</v>
      </c>
      <c r="L94" s="97" t="s">
        <v>596</v>
      </c>
      <c r="M94" s="528">
        <v>1.4999999999999999E-2</v>
      </c>
      <c r="N94" s="97" t="s">
        <v>670</v>
      </c>
      <c r="S94" s="428"/>
      <c r="T94" s="428"/>
      <c r="U94" s="403"/>
    </row>
    <row r="95" spans="1:23" x14ac:dyDescent="0.2">
      <c r="A95" s="401" t="s">
        <v>521</v>
      </c>
      <c r="B95" s="403">
        <v>0.01</v>
      </c>
      <c r="L95" s="97" t="s">
        <v>597</v>
      </c>
      <c r="M95" s="528">
        <v>-7.4999999999999997E-2</v>
      </c>
      <c r="N95" s="97" t="s">
        <v>660</v>
      </c>
      <c r="O95" s="97">
        <v>-2</v>
      </c>
      <c r="P95" s="97" t="s">
        <v>693</v>
      </c>
      <c r="S95" s="428"/>
      <c r="T95" s="428"/>
      <c r="U95" s="424"/>
    </row>
    <row r="96" spans="1:23" x14ac:dyDescent="0.2">
      <c r="A96" s="401" t="s">
        <v>522</v>
      </c>
      <c r="B96" s="403">
        <v>0.01</v>
      </c>
      <c r="L96" s="97" t="s">
        <v>598</v>
      </c>
      <c r="M96" s="2">
        <v>-0.5</v>
      </c>
      <c r="N96" s="97" t="s">
        <v>675</v>
      </c>
      <c r="S96" s="426"/>
      <c r="T96" s="428"/>
      <c r="U96" s="403"/>
    </row>
    <row r="97" spans="1:23" x14ac:dyDescent="0.2">
      <c r="L97" s="97" t="s">
        <v>600</v>
      </c>
      <c r="M97" s="2">
        <v>-0.1</v>
      </c>
      <c r="N97" s="97" t="s">
        <v>663</v>
      </c>
      <c r="S97" s="428"/>
      <c r="T97" s="428"/>
      <c r="U97" s="403"/>
      <c r="W97" s="403"/>
    </row>
    <row r="98" spans="1:23" x14ac:dyDescent="0.2">
      <c r="A98" s="400" t="s">
        <v>469</v>
      </c>
      <c r="M98"/>
      <c r="S98" s="426"/>
      <c r="T98" s="428"/>
    </row>
    <row r="99" spans="1:23" x14ac:dyDescent="0.2">
      <c r="L99" s="97" t="s">
        <v>602</v>
      </c>
      <c r="M99" s="528">
        <v>0.125</v>
      </c>
      <c r="N99" s="97" t="s">
        <v>677</v>
      </c>
      <c r="S99" s="428"/>
      <c r="T99" s="428"/>
      <c r="U99" s="424"/>
    </row>
    <row r="100" spans="1:23" x14ac:dyDescent="0.2">
      <c r="A100" s="401" t="s">
        <v>470</v>
      </c>
      <c r="B100" s="97" t="s">
        <v>222</v>
      </c>
      <c r="D100" s="423">
        <v>0.3</v>
      </c>
      <c r="E100" s="97" t="s">
        <v>449</v>
      </c>
      <c r="L100" s="97" t="s">
        <v>603</v>
      </c>
      <c r="M100"/>
      <c r="N100" s="97" t="s">
        <v>651</v>
      </c>
      <c r="S100" s="426"/>
      <c r="T100" s="428"/>
    </row>
    <row r="101" spans="1:23" x14ac:dyDescent="0.2">
      <c r="B101" s="97" t="s">
        <v>220</v>
      </c>
      <c r="D101" s="423">
        <v>0.2</v>
      </c>
      <c r="E101" s="97" t="s">
        <v>449</v>
      </c>
      <c r="L101" s="97" t="s">
        <v>604</v>
      </c>
      <c r="M101" s="528">
        <v>2.5000000000000001E-2</v>
      </c>
      <c r="N101" s="97" t="s">
        <v>671</v>
      </c>
      <c r="O101" s="424">
        <v>7.4999999999999997E-2</v>
      </c>
      <c r="P101" s="97" t="s">
        <v>669</v>
      </c>
      <c r="S101" s="426"/>
      <c r="T101" s="428"/>
      <c r="U101" s="424"/>
      <c r="W101" s="424"/>
    </row>
    <row r="102" spans="1:23" x14ac:dyDescent="0.2">
      <c r="B102" s="97" t="s">
        <v>471</v>
      </c>
      <c r="D102" s="423">
        <v>0.3</v>
      </c>
      <c r="E102" s="97" t="s">
        <v>449</v>
      </c>
      <c r="L102" s="97" t="s">
        <v>605</v>
      </c>
      <c r="M102" s="2">
        <v>0.05</v>
      </c>
      <c r="N102" s="97" t="s">
        <v>658</v>
      </c>
      <c r="S102" s="426"/>
      <c r="T102" s="428"/>
      <c r="U102" s="403"/>
    </row>
    <row r="103" spans="1:23" x14ac:dyDescent="0.2">
      <c r="B103" s="97" t="s">
        <v>472</v>
      </c>
      <c r="D103" s="423">
        <v>0.6</v>
      </c>
      <c r="E103" s="97" t="s">
        <v>449</v>
      </c>
      <c r="L103" s="97" t="s">
        <v>606</v>
      </c>
      <c r="M103">
        <v>1</v>
      </c>
      <c r="N103" s="97" t="s">
        <v>1107</v>
      </c>
      <c r="S103" s="428"/>
      <c r="T103" s="428"/>
      <c r="U103" s="403"/>
    </row>
    <row r="104" spans="1:23" x14ac:dyDescent="0.2">
      <c r="L104" s="97" t="s">
        <v>607</v>
      </c>
      <c r="M104" s="528">
        <v>-7.4999999999999997E-2</v>
      </c>
      <c r="N104" s="97" t="s">
        <v>666</v>
      </c>
      <c r="S104" s="428"/>
      <c r="T104" s="428"/>
      <c r="U104" s="403"/>
    </row>
    <row r="105" spans="1:23" x14ac:dyDescent="0.2">
      <c r="A105" s="401" t="s">
        <v>473</v>
      </c>
      <c r="B105" s="97" t="s">
        <v>222</v>
      </c>
      <c r="D105" s="97">
        <v>4000</v>
      </c>
      <c r="E105" s="97" t="s">
        <v>523</v>
      </c>
      <c r="L105" s="97" t="s">
        <v>609</v>
      </c>
      <c r="M105">
        <v>-1</v>
      </c>
      <c r="N105" s="97" t="s">
        <v>782</v>
      </c>
      <c r="S105" s="428"/>
      <c r="T105" s="428"/>
      <c r="U105" s="424"/>
    </row>
    <row r="106" spans="1:23" x14ac:dyDescent="0.2">
      <c r="B106" s="97" t="s">
        <v>220</v>
      </c>
      <c r="D106" s="97">
        <v>4000</v>
      </c>
      <c r="E106" s="97" t="s">
        <v>523</v>
      </c>
      <c r="L106" s="97" t="s">
        <v>611</v>
      </c>
      <c r="M106" s="2">
        <v>-0.2</v>
      </c>
      <c r="N106" s="97" t="s">
        <v>678</v>
      </c>
      <c r="S106" s="428"/>
      <c r="T106" s="428"/>
    </row>
    <row r="107" spans="1:23" x14ac:dyDescent="0.2">
      <c r="B107" s="97" t="s">
        <v>471</v>
      </c>
      <c r="D107" s="97">
        <v>7500</v>
      </c>
      <c r="E107" s="97" t="s">
        <v>523</v>
      </c>
      <c r="M107"/>
      <c r="T107" s="91"/>
    </row>
    <row r="108" spans="1:23" x14ac:dyDescent="0.2">
      <c r="B108" s="97" t="s">
        <v>543</v>
      </c>
      <c r="D108" s="97">
        <v>5000</v>
      </c>
      <c r="E108" s="97" t="s">
        <v>523</v>
      </c>
      <c r="L108" s="97" t="s">
        <v>612</v>
      </c>
      <c r="M108" s="528">
        <v>2.5000000000000001E-2</v>
      </c>
      <c r="N108" s="97" t="s">
        <v>1108</v>
      </c>
      <c r="O108" s="97" t="s">
        <v>680</v>
      </c>
      <c r="S108" s="428"/>
      <c r="T108" s="428"/>
      <c r="U108" s="403"/>
      <c r="W108" s="403"/>
    </row>
    <row r="109" spans="1:23" x14ac:dyDescent="0.2">
      <c r="B109" s="97" t="s">
        <v>223</v>
      </c>
      <c r="D109" s="97">
        <v>5000</v>
      </c>
      <c r="E109" s="97" t="s">
        <v>523</v>
      </c>
      <c r="L109" s="97" t="s">
        <v>613</v>
      </c>
      <c r="M109" s="2">
        <v>-0.2</v>
      </c>
      <c r="N109" s="97" t="s">
        <v>697</v>
      </c>
      <c r="O109" s="403">
        <v>-0.1</v>
      </c>
      <c r="P109" s="97" t="s">
        <v>679</v>
      </c>
      <c r="S109" s="428"/>
      <c r="T109" s="428"/>
    </row>
    <row r="110" spans="1:23" x14ac:dyDescent="0.2">
      <c r="L110" s="97" t="s">
        <v>614</v>
      </c>
      <c r="M110" s="528">
        <v>-1.7500000000000002E-2</v>
      </c>
      <c r="N110" s="97" t="s">
        <v>659</v>
      </c>
      <c r="S110" s="428"/>
      <c r="T110" s="428"/>
      <c r="U110" s="403"/>
    </row>
    <row r="111" spans="1:23" x14ac:dyDescent="0.2">
      <c r="A111" s="400" t="s">
        <v>474</v>
      </c>
      <c r="F111" s="97" t="s">
        <v>476</v>
      </c>
      <c r="L111" s="97" t="s">
        <v>615</v>
      </c>
      <c r="M111" s="528">
        <v>2.5000000000000001E-2</v>
      </c>
      <c r="N111" s="97" t="s">
        <v>689</v>
      </c>
      <c r="O111" s="424">
        <v>7.4999999999999997E-2</v>
      </c>
      <c r="P111" s="97" t="s">
        <v>681</v>
      </c>
      <c r="S111" s="426"/>
      <c r="T111" s="428"/>
      <c r="U111" s="424"/>
      <c r="W111" s="424"/>
    </row>
    <row r="112" spans="1:23" x14ac:dyDescent="0.2">
      <c r="A112" s="401" t="s">
        <v>127</v>
      </c>
      <c r="B112" s="431"/>
      <c r="C112" s="432">
        <v>0.2</v>
      </c>
      <c r="D112" s="97" t="s">
        <v>481</v>
      </c>
      <c r="F112" s="271" t="s">
        <v>480</v>
      </c>
      <c r="L112" s="97" t="s">
        <v>616</v>
      </c>
      <c r="M112" s="528">
        <v>-1.7500000000000002E-2</v>
      </c>
      <c r="N112" s="97" t="s">
        <v>659</v>
      </c>
      <c r="S112" s="428"/>
      <c r="T112" s="428"/>
      <c r="U112" s="403"/>
    </row>
    <row r="113" spans="1:23" x14ac:dyDescent="0.2">
      <c r="A113" s="401" t="s">
        <v>128</v>
      </c>
      <c r="B113" s="433" t="s">
        <v>305</v>
      </c>
      <c r="C113" s="432">
        <v>0.2</v>
      </c>
      <c r="D113" s="97" t="s">
        <v>481</v>
      </c>
      <c r="F113" s="271" t="s">
        <v>480</v>
      </c>
      <c r="L113" s="97" t="s">
        <v>617</v>
      </c>
      <c r="M113">
        <v>1</v>
      </c>
      <c r="N113" s="97" t="s">
        <v>695</v>
      </c>
      <c r="S113" s="428"/>
      <c r="T113" s="428"/>
      <c r="U113" s="403"/>
      <c r="W113" s="403"/>
    </row>
    <row r="114" spans="1:23" x14ac:dyDescent="0.2">
      <c r="B114" s="97" t="s">
        <v>304</v>
      </c>
      <c r="C114" s="425">
        <v>0.2</v>
      </c>
      <c r="D114" s="97" t="s">
        <v>481</v>
      </c>
      <c r="F114" s="271" t="s">
        <v>480</v>
      </c>
      <c r="L114" s="97" t="s">
        <v>618</v>
      </c>
      <c r="M114" s="2">
        <v>-0.01</v>
      </c>
      <c r="N114" s="97" t="s">
        <v>683</v>
      </c>
      <c r="S114" s="426"/>
      <c r="T114" s="428"/>
      <c r="U114" s="403"/>
    </row>
    <row r="115" spans="1:23" x14ac:dyDescent="0.2">
      <c r="A115" s="401" t="s">
        <v>143</v>
      </c>
      <c r="B115" s="431"/>
      <c r="C115" s="432">
        <v>0.2</v>
      </c>
      <c r="D115" s="97" t="s">
        <v>481</v>
      </c>
      <c r="F115" s="271">
        <v>4</v>
      </c>
      <c r="M115"/>
      <c r="S115" s="426"/>
      <c r="T115" s="428"/>
    </row>
    <row r="116" spans="1:23" x14ac:dyDescent="0.2">
      <c r="A116" s="401" t="s">
        <v>135</v>
      </c>
      <c r="B116" s="431"/>
      <c r="C116" s="432">
        <v>0.2</v>
      </c>
      <c r="D116" s="97" t="s">
        <v>482</v>
      </c>
      <c r="F116" s="271">
        <v>2</v>
      </c>
      <c r="L116" s="97" t="s">
        <v>619</v>
      </c>
      <c r="M116" s="528">
        <v>1.4999999999999999E-2</v>
      </c>
      <c r="N116" s="97" t="s">
        <v>670</v>
      </c>
      <c r="S116" s="426"/>
      <c r="T116" s="428"/>
      <c r="U116" s="424"/>
    </row>
    <row r="117" spans="1:23" x14ac:dyDescent="0.2">
      <c r="A117" s="401" t="s">
        <v>151</v>
      </c>
      <c r="B117" s="433" t="s">
        <v>305</v>
      </c>
      <c r="C117" s="432">
        <v>0.1</v>
      </c>
      <c r="D117" s="97" t="s">
        <v>308</v>
      </c>
      <c r="F117" s="271">
        <v>4</v>
      </c>
      <c r="L117" s="97" t="s">
        <v>620</v>
      </c>
      <c r="M117" s="528">
        <v>2.5000000000000001E-2</v>
      </c>
      <c r="N117" s="97" t="s">
        <v>671</v>
      </c>
      <c r="O117" s="403">
        <v>-0.05</v>
      </c>
      <c r="P117" s="97" t="s">
        <v>684</v>
      </c>
      <c r="S117" s="426"/>
      <c r="T117" s="428"/>
      <c r="U117" s="424"/>
      <c r="W117" s="403"/>
    </row>
    <row r="118" spans="1:23" x14ac:dyDescent="0.2">
      <c r="B118" s="97" t="s">
        <v>304</v>
      </c>
      <c r="C118" s="434">
        <v>0.1</v>
      </c>
      <c r="D118" s="97" t="s">
        <v>308</v>
      </c>
      <c r="F118" s="271">
        <v>4</v>
      </c>
      <c r="L118" s="97" t="s">
        <v>622</v>
      </c>
      <c r="M118" s="2">
        <v>-0.05</v>
      </c>
      <c r="N118" s="97" t="s">
        <v>666</v>
      </c>
      <c r="O118" s="403">
        <v>-0.05</v>
      </c>
      <c r="P118" s="97" t="s">
        <v>679</v>
      </c>
      <c r="Q118" s="97">
        <v>5</v>
      </c>
      <c r="R118" s="97" t="s">
        <v>700</v>
      </c>
      <c r="S118" s="428"/>
      <c r="T118" s="428"/>
      <c r="U118" s="403"/>
      <c r="W118" s="403"/>
    </row>
    <row r="119" spans="1:23" x14ac:dyDescent="0.2">
      <c r="A119" s="401" t="s">
        <v>475</v>
      </c>
      <c r="B119" s="431"/>
      <c r="C119" s="432">
        <v>0.2</v>
      </c>
      <c r="D119" s="97" t="s">
        <v>482</v>
      </c>
      <c r="F119" s="271">
        <v>3</v>
      </c>
      <c r="L119" s="97" t="s">
        <v>623</v>
      </c>
      <c r="M119" s="528">
        <v>-0.125</v>
      </c>
      <c r="N119" s="97" t="s">
        <v>685</v>
      </c>
      <c r="S119" s="426"/>
      <c r="T119" s="428"/>
      <c r="U119" s="424"/>
    </row>
    <row r="120" spans="1:23" x14ac:dyDescent="0.2">
      <c r="A120" s="401" t="s">
        <v>345</v>
      </c>
      <c r="C120" s="271">
        <v>1</v>
      </c>
      <c r="D120" s="97" t="s">
        <v>477</v>
      </c>
      <c r="F120" s="271">
        <v>3</v>
      </c>
      <c r="L120" s="97" t="s">
        <v>625</v>
      </c>
      <c r="M120" s="2">
        <v>0.01</v>
      </c>
      <c r="N120" s="97" t="s">
        <v>670</v>
      </c>
      <c r="O120" s="403">
        <v>0.1</v>
      </c>
      <c r="P120" s="97" t="s">
        <v>682</v>
      </c>
      <c r="S120" s="428"/>
      <c r="T120" s="428"/>
      <c r="U120" s="403"/>
    </row>
    <row r="121" spans="1:23" x14ac:dyDescent="0.2">
      <c r="A121" s="401" t="s">
        <v>387</v>
      </c>
      <c r="B121" s="271" t="s">
        <v>479</v>
      </c>
      <c r="C121" s="433">
        <v>500</v>
      </c>
      <c r="D121" s="97" t="s">
        <v>478</v>
      </c>
      <c r="F121" s="271">
        <v>0</v>
      </c>
      <c r="L121" s="97" t="s">
        <v>626</v>
      </c>
      <c r="M121" s="529">
        <v>7.4999999999999997E-2</v>
      </c>
      <c r="N121" s="97" t="s">
        <v>698</v>
      </c>
      <c r="O121" s="403">
        <v>-0.05</v>
      </c>
      <c r="P121" s="97" t="s">
        <v>686</v>
      </c>
      <c r="S121" s="428"/>
      <c r="T121" s="428"/>
      <c r="U121" s="403"/>
      <c r="W121" s="403"/>
    </row>
    <row r="122" spans="1:23" x14ac:dyDescent="0.2">
      <c r="A122" s="401" t="s">
        <v>369</v>
      </c>
      <c r="B122" s="271" t="s">
        <v>479</v>
      </c>
      <c r="C122" s="435">
        <v>375</v>
      </c>
      <c r="D122" s="97" t="s">
        <v>478</v>
      </c>
      <c r="F122" s="271">
        <v>3</v>
      </c>
      <c r="M122"/>
      <c r="S122" s="426"/>
      <c r="T122" s="428"/>
    </row>
    <row r="123" spans="1:23" x14ac:dyDescent="0.2">
      <c r="A123" s="401" t="s">
        <v>436</v>
      </c>
      <c r="B123" s="431"/>
      <c r="C123" s="425">
        <v>0.12</v>
      </c>
      <c r="D123" s="97" t="s">
        <v>514</v>
      </c>
      <c r="F123" s="271">
        <v>3</v>
      </c>
      <c r="L123" s="97" t="s">
        <v>627</v>
      </c>
      <c r="M123" s="2">
        <v>0.3</v>
      </c>
      <c r="N123" s="97" t="s">
        <v>687</v>
      </c>
      <c r="S123" s="426"/>
      <c r="T123" s="428"/>
      <c r="U123" s="403"/>
    </row>
    <row r="124" spans="1:23" x14ac:dyDescent="0.2">
      <c r="L124" s="97" t="s">
        <v>629</v>
      </c>
      <c r="M124">
        <v>1.25</v>
      </c>
      <c r="N124" s="97" t="s">
        <v>702</v>
      </c>
      <c r="S124" s="428"/>
      <c r="T124" s="428"/>
      <c r="U124" s="403"/>
    </row>
    <row r="125" spans="1:23" x14ac:dyDescent="0.2">
      <c r="A125" s="400" t="s">
        <v>276</v>
      </c>
      <c r="L125" s="97" t="s">
        <v>631</v>
      </c>
      <c r="M125" s="528">
        <v>-7.4999999999999997E-2</v>
      </c>
      <c r="N125" s="97" t="s">
        <v>686</v>
      </c>
      <c r="O125" s="424">
        <v>7.4999999999999997E-3</v>
      </c>
      <c r="P125" s="97" t="s">
        <v>783</v>
      </c>
      <c r="S125" s="428"/>
      <c r="T125" s="428"/>
      <c r="U125" s="403"/>
    </row>
    <row r="126" spans="1:23" x14ac:dyDescent="0.2">
      <c r="A126" s="401" t="s">
        <v>493</v>
      </c>
      <c r="B126" s="97">
        <v>20</v>
      </c>
      <c r="L126" s="97" t="s">
        <v>632</v>
      </c>
      <c r="M126" s="528">
        <v>2.5000000000000001E-2</v>
      </c>
      <c r="N126" s="97" t="s">
        <v>689</v>
      </c>
      <c r="S126" s="426"/>
      <c r="T126" s="428"/>
      <c r="U126" s="424"/>
    </row>
    <row r="127" spans="1:23" x14ac:dyDescent="0.2">
      <c r="A127" s="401" t="s">
        <v>491</v>
      </c>
      <c r="B127" s="97">
        <v>0</v>
      </c>
      <c r="C127" s="97" t="s">
        <v>492</v>
      </c>
      <c r="L127" s="97" t="s">
        <v>633</v>
      </c>
      <c r="M127" s="528">
        <v>-2.5000000000000001E-2</v>
      </c>
      <c r="N127" s="97" t="s">
        <v>662</v>
      </c>
      <c r="O127" s="6">
        <v>2</v>
      </c>
      <c r="P127" s="6" t="s">
        <v>701</v>
      </c>
      <c r="S127" s="426"/>
      <c r="T127" s="428"/>
      <c r="U127" s="424"/>
    </row>
    <row r="128" spans="1:23" x14ac:dyDescent="0.2">
      <c r="M128"/>
      <c r="S128" s="426"/>
      <c r="T128" s="428"/>
    </row>
    <row r="129" spans="1:23" x14ac:dyDescent="0.2">
      <c r="A129" s="400" t="s">
        <v>785</v>
      </c>
      <c r="L129" s="97" t="s">
        <v>635</v>
      </c>
      <c r="M129" s="2">
        <v>0.6</v>
      </c>
      <c r="N129" s="97" t="s">
        <v>784</v>
      </c>
      <c r="S129" s="428"/>
      <c r="T129" s="428"/>
    </row>
    <row r="130" spans="1:23" x14ac:dyDescent="0.2">
      <c r="A130" s="401" t="s">
        <v>89</v>
      </c>
      <c r="B130" s="97" t="s">
        <v>3</v>
      </c>
      <c r="L130" s="97" t="s">
        <v>636</v>
      </c>
      <c r="M130" s="528">
        <v>-7.4999999999999997E-2</v>
      </c>
      <c r="N130" s="97" t="s">
        <v>686</v>
      </c>
      <c r="S130" s="426"/>
      <c r="T130" s="428"/>
      <c r="U130" s="424"/>
    </row>
    <row r="131" spans="1:23" x14ac:dyDescent="0.2">
      <c r="A131" s="401" t="s">
        <v>90</v>
      </c>
      <c r="B131" s="97" t="s">
        <v>3</v>
      </c>
      <c r="L131" s="97" t="s">
        <v>638</v>
      </c>
      <c r="M131">
        <v>2</v>
      </c>
      <c r="N131" s="97" t="s">
        <v>703</v>
      </c>
      <c r="S131" s="426"/>
      <c r="T131" s="428"/>
    </row>
    <row r="132" spans="1:23" x14ac:dyDescent="0.2">
      <c r="A132" s="401" t="s">
        <v>91</v>
      </c>
      <c r="B132" s="97" t="s">
        <v>3</v>
      </c>
      <c r="L132" s="97" t="s">
        <v>640</v>
      </c>
      <c r="M132" s="2">
        <v>0.3</v>
      </c>
      <c r="N132" s="97" t="s">
        <v>690</v>
      </c>
      <c r="S132" s="428"/>
      <c r="T132" s="428"/>
      <c r="U132" s="403"/>
    </row>
    <row r="133" spans="1:23" x14ac:dyDescent="0.2">
      <c r="A133" s="401" t="s">
        <v>92</v>
      </c>
      <c r="B133" s="97" t="s">
        <v>3</v>
      </c>
      <c r="M133"/>
      <c r="S133" s="426"/>
      <c r="T133" s="428"/>
    </row>
    <row r="134" spans="1:23" x14ac:dyDescent="0.2">
      <c r="A134" s="401" t="s">
        <v>93</v>
      </c>
      <c r="B134" s="97" t="s">
        <v>3</v>
      </c>
      <c r="L134" s="97" t="s">
        <v>641</v>
      </c>
      <c r="M134" s="2">
        <v>-0.15</v>
      </c>
      <c r="N134" s="97" t="s">
        <v>699</v>
      </c>
      <c r="O134" s="403">
        <v>-0.05</v>
      </c>
      <c r="P134" s="97" t="s">
        <v>676</v>
      </c>
      <c r="S134" s="426"/>
      <c r="T134" s="428"/>
      <c r="U134" s="403"/>
      <c r="W134" s="403"/>
    </row>
    <row r="135" spans="1:23" x14ac:dyDescent="0.2">
      <c r="A135" s="401" t="s">
        <v>94</v>
      </c>
      <c r="B135" s="97" t="s">
        <v>3</v>
      </c>
      <c r="L135" s="97" t="s">
        <v>643</v>
      </c>
      <c r="M135" s="528">
        <v>-2.5000000000000001E-2</v>
      </c>
      <c r="N135" s="97" t="s">
        <v>666</v>
      </c>
      <c r="S135" s="426"/>
      <c r="T135" s="428"/>
      <c r="U135" s="424"/>
    </row>
    <row r="136" spans="1:23" x14ac:dyDescent="0.2">
      <c r="A136" s="401" t="s">
        <v>95</v>
      </c>
      <c r="B136" s="97" t="s">
        <v>3</v>
      </c>
      <c r="L136" s="97" t="s">
        <v>644</v>
      </c>
      <c r="M136" s="2">
        <v>-0.25</v>
      </c>
      <c r="N136" s="97" t="s">
        <v>691</v>
      </c>
      <c r="S136" s="426"/>
      <c r="T136" s="428"/>
      <c r="U136" s="403"/>
    </row>
    <row r="137" spans="1:23" x14ac:dyDescent="0.2">
      <c r="A137" s="401" t="s">
        <v>96</v>
      </c>
      <c r="B137" s="97" t="s">
        <v>7</v>
      </c>
      <c r="M137"/>
      <c r="S137" s="426"/>
      <c r="T137" s="428"/>
    </row>
    <row r="138" spans="1:23" x14ac:dyDescent="0.2">
      <c r="A138" s="401" t="s">
        <v>97</v>
      </c>
      <c r="B138" s="97" t="s">
        <v>3</v>
      </c>
      <c r="L138" s="97" t="s">
        <v>645</v>
      </c>
      <c r="M138" s="2">
        <v>0.05</v>
      </c>
      <c r="N138" s="97" t="s">
        <v>688</v>
      </c>
      <c r="S138" s="428"/>
      <c r="T138" s="428"/>
      <c r="U138" s="424"/>
    </row>
    <row r="139" spans="1:23" x14ac:dyDescent="0.2">
      <c r="A139" s="401" t="s">
        <v>29</v>
      </c>
      <c r="B139" s="97" t="s">
        <v>3</v>
      </c>
      <c r="L139" s="97" t="s">
        <v>647</v>
      </c>
      <c r="M139" s="528">
        <v>-7.4999999999999997E-2</v>
      </c>
      <c r="N139" s="97" t="s">
        <v>685</v>
      </c>
      <c r="S139" s="428"/>
      <c r="T139" s="428"/>
      <c r="U139" s="403"/>
    </row>
    <row r="140" spans="1:23" x14ac:dyDescent="0.2">
      <c r="A140" s="401" t="s">
        <v>99</v>
      </c>
      <c r="B140" s="97" t="s">
        <v>3</v>
      </c>
      <c r="M140"/>
      <c r="T140" s="91"/>
    </row>
    <row r="141" spans="1:23" x14ac:dyDescent="0.2">
      <c r="A141" s="401" t="s">
        <v>100</v>
      </c>
      <c r="B141" s="97" t="s">
        <v>3</v>
      </c>
      <c r="L141" s="97" t="s">
        <v>648</v>
      </c>
      <c r="M141" s="2">
        <v>-0.05</v>
      </c>
      <c r="N141" s="97" t="s">
        <v>686</v>
      </c>
      <c r="T141" s="91"/>
      <c r="U141" s="403"/>
    </row>
    <row r="142" spans="1:23" x14ac:dyDescent="0.2">
      <c r="A142" s="401" t="s">
        <v>101</v>
      </c>
      <c r="B142" s="97" t="s">
        <v>3</v>
      </c>
    </row>
    <row r="143" spans="1:23" x14ac:dyDescent="0.2">
      <c r="A143" s="401" t="s">
        <v>102</v>
      </c>
      <c r="B143" s="97" t="s">
        <v>3</v>
      </c>
    </row>
    <row r="144" spans="1:23" x14ac:dyDescent="0.2">
      <c r="A144" s="401" t="s">
        <v>103</v>
      </c>
      <c r="B144" s="97" t="s">
        <v>3</v>
      </c>
    </row>
    <row r="145" spans="1:13" x14ac:dyDescent="0.2">
      <c r="A145" s="401" t="s">
        <v>104</v>
      </c>
      <c r="B145" s="97" t="s">
        <v>3</v>
      </c>
    </row>
    <row r="146" spans="1:13" x14ac:dyDescent="0.2">
      <c r="A146" s="401" t="s">
        <v>341</v>
      </c>
      <c r="B146" s="97" t="s">
        <v>3</v>
      </c>
      <c r="L146" s="426"/>
      <c r="M146" s="403"/>
    </row>
    <row r="147" spans="1:13" x14ac:dyDescent="0.2">
      <c r="A147" s="401" t="s">
        <v>355</v>
      </c>
      <c r="B147" s="97" t="s">
        <v>3</v>
      </c>
      <c r="L147" s="426"/>
    </row>
    <row r="148" spans="1:13" x14ac:dyDescent="0.2">
      <c r="A148" s="401" t="s">
        <v>147</v>
      </c>
      <c r="B148" s="97" t="s">
        <v>3</v>
      </c>
      <c r="L148" s="426"/>
      <c r="M148" s="403"/>
    </row>
    <row r="149" spans="1:13" x14ac:dyDescent="0.2">
      <c r="A149" s="401" t="s">
        <v>515</v>
      </c>
      <c r="B149" s="97" t="s">
        <v>12</v>
      </c>
    </row>
    <row r="151" spans="1:13" x14ac:dyDescent="0.2">
      <c r="A151" s="401" t="s">
        <v>1088</v>
      </c>
    </row>
    <row r="152" spans="1:13" x14ac:dyDescent="0.2">
      <c r="A152" s="401" t="s">
        <v>2</v>
      </c>
      <c r="B152" s="97">
        <v>1</v>
      </c>
    </row>
    <row r="153" spans="1:13" x14ac:dyDescent="0.2">
      <c r="A153" s="401" t="s">
        <v>7</v>
      </c>
      <c r="B153" s="97">
        <v>2</v>
      </c>
    </row>
    <row r="154" spans="1:13" x14ac:dyDescent="0.2">
      <c r="A154" s="401" t="s">
        <v>3</v>
      </c>
      <c r="B154" s="97">
        <v>2</v>
      </c>
    </row>
    <row r="155" spans="1:13" x14ac:dyDescent="0.2">
      <c r="A155" s="401" t="s">
        <v>4</v>
      </c>
      <c r="B155" s="97">
        <v>12</v>
      </c>
    </row>
    <row r="157" spans="1:13" x14ac:dyDescent="0.2">
      <c r="A157" s="400" t="s">
        <v>1089</v>
      </c>
    </row>
    <row r="158" spans="1:13" x14ac:dyDescent="0.2">
      <c r="A158" s="401" t="s">
        <v>290</v>
      </c>
      <c r="B158" s="403">
        <v>0.75</v>
      </c>
    </row>
  </sheetData>
  <phoneticPr fontId="0" type="noConversion"/>
  <conditionalFormatting sqref="J24:L24">
    <cfRule type="expression" dxfId="34" priority="1" stopIfTrue="1">
      <formula>$A$1273&lt;0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294</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790</v>
      </c>
      <c r="D4" s="436" t="s">
        <v>791</v>
      </c>
      <c r="E4" s="437" t="s">
        <v>792</v>
      </c>
      <c r="F4" s="437" t="s">
        <v>793</v>
      </c>
      <c r="G4" s="437" t="s">
        <v>794</v>
      </c>
      <c r="H4" s="442" t="s">
        <v>795</v>
      </c>
      <c r="I4" s="442" t="s">
        <v>242</v>
      </c>
      <c r="J4" s="531" t="s">
        <v>175</v>
      </c>
      <c r="K4" s="531" t="s">
        <v>105</v>
      </c>
      <c r="L4" s="531" t="s">
        <v>172</v>
      </c>
      <c r="M4" s="531" t="s">
        <v>107</v>
      </c>
      <c r="N4" s="531" t="s">
        <v>108</v>
      </c>
      <c r="O4" s="531" t="s">
        <v>109</v>
      </c>
      <c r="P4" s="531" t="s">
        <v>110</v>
      </c>
      <c r="Q4" s="531" t="s">
        <v>111</v>
      </c>
      <c r="R4" s="531" t="s">
        <v>112</v>
      </c>
      <c r="S4" s="531" t="s">
        <v>32</v>
      </c>
      <c r="T4" s="531" t="s">
        <v>31</v>
      </c>
      <c r="U4" s="532" t="s">
        <v>173</v>
      </c>
      <c r="V4" s="531" t="s">
        <v>174</v>
      </c>
      <c r="W4" s="531" t="s">
        <v>451</v>
      </c>
      <c r="X4" s="531" t="s">
        <v>503</v>
      </c>
      <c r="Y4" s="531" t="s">
        <v>504</v>
      </c>
      <c r="Z4" s="531" t="s">
        <v>541</v>
      </c>
      <c r="AA4" s="531" t="s">
        <v>1113</v>
      </c>
    </row>
    <row r="5" spans="1:27" s="449" customFormat="1" ht="19.5" customHeight="1" x14ac:dyDescent="0.2">
      <c r="A5" s="439" t="s">
        <v>89</v>
      </c>
      <c r="B5" s="443" t="s">
        <v>98</v>
      </c>
      <c r="C5" s="439" t="s">
        <v>255</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255</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255</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255</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255</v>
      </c>
      <c r="D9" s="458" t="s">
        <v>117</v>
      </c>
      <c r="E9" s="459">
        <v>3</v>
      </c>
      <c r="F9" s="459"/>
      <c r="G9" s="459">
        <v>275</v>
      </c>
      <c r="H9" s="449">
        <v>25</v>
      </c>
      <c r="I9" s="457">
        <v>5</v>
      </c>
      <c r="J9" s="460"/>
      <c r="K9" s="461"/>
      <c r="L9" s="461"/>
      <c r="M9" s="461"/>
      <c r="N9" s="461"/>
      <c r="O9" s="461">
        <v>0.1</v>
      </c>
      <c r="P9" s="461"/>
      <c r="Q9" s="461"/>
      <c r="R9" s="461"/>
      <c r="S9" s="461"/>
      <c r="T9" s="461"/>
      <c r="U9" s="461"/>
      <c r="V9" s="461"/>
      <c r="W9" s="440"/>
      <c r="X9" s="447"/>
      <c r="Y9" s="459"/>
      <c r="Z9" s="459"/>
      <c r="AA9" s="448"/>
    </row>
    <row r="10" spans="1:27" s="439" customFormat="1" ht="19.5" customHeight="1" x14ac:dyDescent="0.2">
      <c r="A10" s="439" t="s">
        <v>90</v>
      </c>
      <c r="B10" s="443" t="s">
        <v>30</v>
      </c>
      <c r="C10" s="439" t="s">
        <v>255</v>
      </c>
      <c r="D10" s="444" t="s">
        <v>118</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255</v>
      </c>
      <c r="D11" s="444" t="s">
        <v>119</v>
      </c>
      <c r="E11" s="440">
        <v>2</v>
      </c>
      <c r="F11" s="440">
        <v>6</v>
      </c>
      <c r="G11" s="440">
        <v>1025</v>
      </c>
      <c r="H11" s="439">
        <v>75</v>
      </c>
      <c r="I11" s="443">
        <f>1.8 * MIN(6, MAX(E11,F11)) + 0.45 * MIN(6, MIN(E11,F11)) + IF(E11&gt;6, (E11-6)*0.2) + IF(F11&gt;6, (F11-6)*0.2)</f>
        <v>11.700000000000001</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255</v>
      </c>
      <c r="D12" s="444" t="s">
        <v>120</v>
      </c>
      <c r="E12" s="440">
        <v>6</v>
      </c>
      <c r="F12" s="440">
        <v>3</v>
      </c>
      <c r="G12" s="440">
        <v>1250</v>
      </c>
      <c r="H12" s="439">
        <v>100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257</v>
      </c>
      <c r="D13" s="458" t="s">
        <v>121</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257</v>
      </c>
      <c r="D14" s="444" t="s">
        <v>122</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257</v>
      </c>
      <c r="D15" s="444" t="s">
        <v>123</v>
      </c>
      <c r="E15" s="440">
        <v>4</v>
      </c>
      <c r="F15" s="440">
        <v>4</v>
      </c>
      <c r="G15" s="440">
        <v>760</v>
      </c>
      <c r="H15" s="439">
        <v>0</v>
      </c>
      <c r="I15" s="443">
        <f>1.8 * MIN(6, MAX(E15,F15)) + 0.45 * MIN(6, MIN(E15,F15)) + IF(E15&gt;6, (E15-6)*0.2) + IF(F15&gt;6, (F15-6)*0.2)</f>
        <v>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257</v>
      </c>
      <c r="D16" s="450" t="s">
        <v>124</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125</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c r="Y17" s="459"/>
      <c r="Z17" s="459"/>
      <c r="AA17" s="448"/>
    </row>
    <row r="18" spans="1:27" s="439" customFormat="1" ht="19.5" customHeight="1" x14ac:dyDescent="0.2">
      <c r="A18" s="439" t="s">
        <v>92</v>
      </c>
      <c r="B18" s="443" t="s">
        <v>98</v>
      </c>
      <c r="C18" s="439" t="s">
        <v>58</v>
      </c>
      <c r="D18" s="444" t="s">
        <v>126</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127</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128</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256</v>
      </c>
      <c r="D21" s="458" t="s">
        <v>129</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256</v>
      </c>
      <c r="D22" s="444" t="s">
        <v>130</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256</v>
      </c>
      <c r="D23" s="444" t="s">
        <v>132</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256</v>
      </c>
      <c r="D24" s="444" t="s">
        <v>131</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257</v>
      </c>
      <c r="D25" s="458" t="s">
        <v>133</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257</v>
      </c>
      <c r="D26" s="444" t="s">
        <v>134</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257</v>
      </c>
      <c r="D27" s="444" t="s">
        <v>135</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257</v>
      </c>
      <c r="D28" s="450" t="s">
        <v>136</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137</v>
      </c>
      <c r="E29" s="459">
        <v>3</v>
      </c>
      <c r="F29" s="459"/>
      <c r="G29" s="459">
        <v>275</v>
      </c>
      <c r="H29" s="449">
        <v>0</v>
      </c>
      <c r="I29" s="457">
        <v>5</v>
      </c>
      <c r="J29" s="460"/>
      <c r="K29" s="461"/>
      <c r="L29" s="461"/>
      <c r="M29" s="461">
        <v>0.15</v>
      </c>
      <c r="N29" s="461">
        <v>-0.15</v>
      </c>
      <c r="O29" s="461"/>
      <c r="P29" s="461"/>
      <c r="Q29" s="461"/>
      <c r="R29" s="461"/>
      <c r="S29" s="461"/>
      <c r="T29" s="461">
        <v>0.05</v>
      </c>
      <c r="U29" s="461"/>
      <c r="V29" s="461"/>
      <c r="W29" s="440"/>
      <c r="X29" s="447"/>
      <c r="Y29" s="459"/>
      <c r="Z29" s="459"/>
      <c r="AA29" s="448"/>
    </row>
    <row r="30" spans="1:27" s="439" customFormat="1" ht="19.5" customHeight="1" x14ac:dyDescent="0.2">
      <c r="A30" s="439" t="s">
        <v>95</v>
      </c>
      <c r="B30" s="443" t="s">
        <v>98</v>
      </c>
      <c r="C30" s="439" t="s">
        <v>62</v>
      </c>
      <c r="D30" s="444" t="s">
        <v>139</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140</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138</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141</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142</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143</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144</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256</v>
      </c>
      <c r="D37" s="458" t="s">
        <v>145</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256</v>
      </c>
      <c r="D38" s="444" t="s">
        <v>146</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256</v>
      </c>
      <c r="D39" s="444" t="s">
        <v>367</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256</v>
      </c>
      <c r="D40" s="450" t="s">
        <v>148</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255</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255</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255</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255</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254</v>
      </c>
      <c r="D45" s="458" t="s">
        <v>149</v>
      </c>
      <c r="E45" s="459">
        <v>4</v>
      </c>
      <c r="F45" s="459"/>
      <c r="G45" s="459">
        <v>325</v>
      </c>
      <c r="H45" s="449">
        <v>25</v>
      </c>
      <c r="I45" s="457">
        <v>5</v>
      </c>
      <c r="J45" s="460"/>
      <c r="K45" s="461"/>
      <c r="L45" s="461"/>
      <c r="M45" s="461"/>
      <c r="N45" s="461"/>
      <c r="O45" s="461">
        <v>0.05</v>
      </c>
      <c r="P45" s="461"/>
      <c r="Q45" s="461">
        <v>0.05</v>
      </c>
      <c r="R45" s="461"/>
      <c r="S45" s="461"/>
      <c r="T45" s="461"/>
      <c r="U45" s="461"/>
      <c r="V45" s="461">
        <v>0.1</v>
      </c>
      <c r="W45" s="440"/>
      <c r="X45" s="447"/>
      <c r="Y45" s="459"/>
      <c r="Z45" s="459"/>
      <c r="AA45" s="448"/>
    </row>
    <row r="46" spans="1:27" s="439" customFormat="1" ht="19.5" customHeight="1" x14ac:dyDescent="0.2">
      <c r="A46" s="439" t="s">
        <v>99</v>
      </c>
      <c r="B46" s="443" t="s">
        <v>30</v>
      </c>
      <c r="C46" s="439" t="s">
        <v>254</v>
      </c>
      <c r="D46" s="444" t="s">
        <v>150</v>
      </c>
      <c r="E46" s="440"/>
      <c r="F46" s="440">
        <v>3</v>
      </c>
      <c r="G46" s="440">
        <v>300</v>
      </c>
      <c r="H46" s="439">
        <v>15</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254</v>
      </c>
      <c r="D47" s="444" t="s">
        <v>151</v>
      </c>
      <c r="E47" s="440">
        <v>2</v>
      </c>
      <c r="F47" s="440">
        <v>4</v>
      </c>
      <c r="G47" s="440">
        <v>1150</v>
      </c>
      <c r="H47" s="439">
        <v>55</v>
      </c>
      <c r="I47" s="443">
        <f>1.8 * MIN(6, MAX(E47,F47)) + 0.45 * MIN(6, MIN(E47,F47)) + IF(E47&gt;6, (E47-6)*0.2) + IF(F47&gt;6, (F47-6)*0.2)</f>
        <v>8.1</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254</v>
      </c>
      <c r="D48" s="450" t="s">
        <v>152</v>
      </c>
      <c r="E48" s="451">
        <v>6</v>
      </c>
      <c r="F48" s="451">
        <v>0</v>
      </c>
      <c r="G48" s="451">
        <v>1050</v>
      </c>
      <c r="H48" s="452">
        <v>55</v>
      </c>
      <c r="I48" s="443">
        <f>1.8 * MIN(6, MAX(E48,F48)) + 0.45 * MIN(6, MIN(E48,F48)) + IF(E48&gt;6, (E48-6)*0.2) + IF(F48&gt;6, (F48-6)*0.2)</f>
        <v>10.8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153</v>
      </c>
      <c r="E49" s="459">
        <v>2.5</v>
      </c>
      <c r="F49" s="459"/>
      <c r="G49" s="459">
        <v>225</v>
      </c>
      <c r="H49" s="449">
        <v>0</v>
      </c>
      <c r="I49" s="457">
        <v>5</v>
      </c>
      <c r="J49" s="460">
        <v>0.125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154</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155</v>
      </c>
      <c r="E51" s="440">
        <v>2</v>
      </c>
      <c r="F51" s="440">
        <v>4</v>
      </c>
      <c r="G51" s="440">
        <v>880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386</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156</v>
      </c>
      <c r="E53" s="459">
        <v>2.5</v>
      </c>
      <c r="F53" s="459"/>
      <c r="G53" s="459">
        <v>225</v>
      </c>
      <c r="H53" s="449">
        <v>0</v>
      </c>
      <c r="I53" s="457">
        <v>5</v>
      </c>
      <c r="J53" s="460">
        <v>0.125</v>
      </c>
      <c r="K53" s="461"/>
      <c r="L53" s="461"/>
      <c r="M53" s="461"/>
      <c r="N53" s="461"/>
      <c r="O53" s="461"/>
      <c r="P53" s="461"/>
      <c r="Q53" s="461"/>
      <c r="R53" s="461">
        <v>-0.8</v>
      </c>
      <c r="S53" s="461"/>
      <c r="T53" s="461"/>
      <c r="U53" s="461"/>
      <c r="V53" s="461"/>
      <c r="W53" s="440"/>
      <c r="X53" s="447"/>
      <c r="Y53" s="459"/>
      <c r="Z53" s="459"/>
      <c r="AA53" s="448"/>
    </row>
    <row r="54" spans="1:27" s="439" customFormat="1" ht="19.5" customHeight="1" x14ac:dyDescent="0.2">
      <c r="A54" s="439" t="s">
        <v>101</v>
      </c>
      <c r="B54" s="443" t="s">
        <v>98</v>
      </c>
      <c r="C54" s="439" t="s">
        <v>60</v>
      </c>
      <c r="D54" s="444" t="s">
        <v>157</v>
      </c>
      <c r="E54" s="440"/>
      <c r="F54" s="440">
        <v>2.5</v>
      </c>
      <c r="G54" s="440">
        <v>225</v>
      </c>
      <c r="H54" s="439">
        <v>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158</v>
      </c>
      <c r="E55" s="440">
        <v>2</v>
      </c>
      <c r="F55" s="440">
        <v>4</v>
      </c>
      <c r="G55" s="440">
        <v>880</v>
      </c>
      <c r="H55" s="439">
        <v>0</v>
      </c>
      <c r="I55" s="443">
        <f>1.8 * MIN(6, MAX(E55,F55)) + 0.45 * MIN(6, MIN(E55,F55)) + IF(E55&gt;6, (E55-6)*0.2) + IF(F55&gt;6, (F55-6)*0.2)</f>
        <v>8.1</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159</v>
      </c>
      <c r="E56" s="451">
        <v>4</v>
      </c>
      <c r="F56" s="451">
        <v>3</v>
      </c>
      <c r="G56" s="451">
        <v>1000</v>
      </c>
      <c r="H56" s="452">
        <v>0</v>
      </c>
      <c r="I56" s="443">
        <f>1.8 * MIN(6, MAX(E56,F56)) + 0.45 * MIN(6, MIN(E56,F56)) + IF(E56&gt;6, (E56-6)*0.2) + IF(F56&gt;6, (F56-6)*0.2)</f>
        <v>8.5500000000000007</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58</v>
      </c>
      <c r="D57" s="458" t="s">
        <v>160</v>
      </c>
      <c r="E57" s="459">
        <v>3</v>
      </c>
      <c r="F57" s="459"/>
      <c r="G57" s="459">
        <v>300</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58</v>
      </c>
      <c r="D58" s="444" t="s">
        <v>161</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58</v>
      </c>
      <c r="D59" s="444" t="s">
        <v>162</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58</v>
      </c>
      <c r="D60" s="450" t="s">
        <v>163</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256</v>
      </c>
      <c r="D61" s="458" t="s">
        <v>164</v>
      </c>
      <c r="E61" s="459">
        <v>2</v>
      </c>
      <c r="F61" s="459"/>
      <c r="G61" s="459">
        <v>245</v>
      </c>
      <c r="H61" s="449">
        <v>20</v>
      </c>
      <c r="I61" s="457">
        <v>5</v>
      </c>
      <c r="J61" s="460">
        <v>0.4</v>
      </c>
      <c r="K61" s="461">
        <v>0.1</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256</v>
      </c>
      <c r="D62" s="444" t="s">
        <v>165</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256</v>
      </c>
      <c r="D63" s="444" t="s">
        <v>166</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256</v>
      </c>
      <c r="D64" s="450" t="s">
        <v>167</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168</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169</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170</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171</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341</v>
      </c>
      <c r="B69" s="457" t="s">
        <v>30</v>
      </c>
      <c r="C69" s="449" t="s">
        <v>257</v>
      </c>
      <c r="D69" s="458" t="s">
        <v>342</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341</v>
      </c>
      <c r="B70" s="443" t="s">
        <v>30</v>
      </c>
      <c r="C70" s="439" t="s">
        <v>257</v>
      </c>
      <c r="D70" s="444" t="s">
        <v>343</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341</v>
      </c>
      <c r="B71" s="443" t="s">
        <v>30</v>
      </c>
      <c r="C71" s="439" t="s">
        <v>257</v>
      </c>
      <c r="D71" s="444" t="s">
        <v>344</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341</v>
      </c>
      <c r="B72" s="462" t="s">
        <v>30</v>
      </c>
      <c r="C72" s="452" t="s">
        <v>257</v>
      </c>
      <c r="D72" s="450" t="s">
        <v>345</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355</v>
      </c>
      <c r="B73" s="457" t="s">
        <v>98</v>
      </c>
      <c r="C73" s="449" t="s">
        <v>254</v>
      </c>
      <c r="D73" s="458" t="s">
        <v>349</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355</v>
      </c>
      <c r="B74" s="443" t="s">
        <v>98</v>
      </c>
      <c r="C74" s="439" t="s">
        <v>254</v>
      </c>
      <c r="D74" s="444" t="s">
        <v>350</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355</v>
      </c>
      <c r="B75" s="443" t="s">
        <v>98</v>
      </c>
      <c r="C75" s="439" t="s">
        <v>254</v>
      </c>
      <c r="D75" s="444" t="s">
        <v>351</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355</v>
      </c>
      <c r="B76" s="462" t="s">
        <v>98</v>
      </c>
      <c r="C76" s="452" t="s">
        <v>254</v>
      </c>
      <c r="D76" s="450" t="s">
        <v>352</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147</v>
      </c>
      <c r="B77" s="457" t="s">
        <v>30</v>
      </c>
      <c r="C77" s="463" t="s">
        <v>58</v>
      </c>
      <c r="D77" s="449" t="s">
        <v>368</v>
      </c>
      <c r="E77" s="459">
        <v>4</v>
      </c>
      <c r="F77" s="459"/>
      <c r="G77" s="459">
        <v>375</v>
      </c>
      <c r="H77" s="449">
        <v>25</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147</v>
      </c>
      <c r="B78" s="443" t="s">
        <v>30</v>
      </c>
      <c r="C78" s="464" t="s">
        <v>58</v>
      </c>
      <c r="D78" s="439" t="s">
        <v>337</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147</v>
      </c>
      <c r="B79" s="443" t="s">
        <v>30</v>
      </c>
      <c r="C79" s="464" t="s">
        <v>58</v>
      </c>
      <c r="D79" s="439" t="s">
        <v>387</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147</v>
      </c>
      <c r="B80" s="462" t="s">
        <v>30</v>
      </c>
      <c r="C80" s="465" t="s">
        <v>58</v>
      </c>
      <c r="D80" s="452" t="s">
        <v>369</v>
      </c>
      <c r="E80" s="451">
        <v>4</v>
      </c>
      <c r="F80" s="451">
        <v>3</v>
      </c>
      <c r="G80" s="451">
        <v>1150</v>
      </c>
      <c r="H80" s="452">
        <v>100</v>
      </c>
      <c r="I80" s="462">
        <f>1.8 * MIN(6, MAX(E80,F80)) + 0.45 * MIN(6, MIN(E80,F80)) + IF(E80&gt;6, (E80-6)*0.2) + IF(F80&gt;6, (F80-6)*0.2)</f>
        <v>8.5500000000000007</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515</v>
      </c>
      <c r="B81" s="457" t="s">
        <v>30</v>
      </c>
      <c r="C81" s="463" t="s">
        <v>60</v>
      </c>
      <c r="D81" s="449" t="s">
        <v>434</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515</v>
      </c>
      <c r="B82" s="443" t="s">
        <v>30</v>
      </c>
      <c r="C82" s="464" t="s">
        <v>60</v>
      </c>
      <c r="D82" s="439" t="s">
        <v>435</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515</v>
      </c>
      <c r="B83" s="443" t="s">
        <v>30</v>
      </c>
      <c r="C83" s="464" t="s">
        <v>60</v>
      </c>
      <c r="D83" s="439" t="s">
        <v>436</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515</v>
      </c>
      <c r="B84" s="443" t="s">
        <v>30</v>
      </c>
      <c r="C84" s="464" t="s">
        <v>60</v>
      </c>
      <c r="D84" s="439" t="s">
        <v>437</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796</v>
      </c>
      <c r="B85" s="443" t="s">
        <v>796</v>
      </c>
      <c r="C85" s="464" t="s">
        <v>796</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796</v>
      </c>
      <c r="B86" s="443" t="s">
        <v>796</v>
      </c>
      <c r="C86" s="464" t="s">
        <v>796</v>
      </c>
      <c r="D86" s="76" t="s">
        <v>193</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796</v>
      </c>
      <c r="B87" s="443" t="s">
        <v>796</v>
      </c>
      <c r="C87" s="464" t="s">
        <v>796</v>
      </c>
      <c r="D87" s="76" t="s">
        <v>194</v>
      </c>
      <c r="G87" s="440">
        <v>1000</v>
      </c>
      <c r="H87" s="440" t="s">
        <v>260</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372</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341</v>
      </c>
      <c r="B105" s="360">
        <v>69</v>
      </c>
      <c r="J105" s="472"/>
      <c r="K105" s="472"/>
      <c r="L105" s="472"/>
      <c r="M105" s="472"/>
      <c r="N105" s="472"/>
      <c r="O105" s="472"/>
      <c r="P105" s="472"/>
      <c r="Q105" s="472"/>
      <c r="R105" s="472"/>
      <c r="S105" s="472"/>
      <c r="T105" s="472"/>
      <c r="U105" s="472"/>
      <c r="V105" s="472"/>
    </row>
    <row r="106" spans="1:22" ht="19.5" customHeight="1" x14ac:dyDescent="0.2">
      <c r="A106" s="467" t="s">
        <v>355</v>
      </c>
      <c r="B106" s="360">
        <v>73</v>
      </c>
      <c r="J106" s="472"/>
      <c r="K106" s="472"/>
      <c r="L106" s="472"/>
      <c r="M106" s="472"/>
      <c r="N106" s="472"/>
      <c r="O106" s="472"/>
      <c r="P106" s="472"/>
      <c r="Q106" s="472"/>
      <c r="R106" s="472"/>
      <c r="S106" s="472"/>
      <c r="T106" s="472"/>
      <c r="U106" s="472"/>
      <c r="V106" s="472"/>
    </row>
    <row r="107" spans="1:22" ht="19.5" customHeight="1" x14ac:dyDescent="0.2">
      <c r="A107" s="467" t="s">
        <v>147</v>
      </c>
      <c r="B107" s="360">
        <v>77</v>
      </c>
      <c r="J107" s="472"/>
      <c r="K107" s="472"/>
      <c r="L107" s="472"/>
      <c r="M107" s="472"/>
      <c r="N107" s="472"/>
      <c r="O107" s="472"/>
      <c r="P107" s="472"/>
      <c r="Q107" s="472"/>
      <c r="R107" s="472"/>
      <c r="S107" s="472"/>
      <c r="T107" s="472"/>
      <c r="U107" s="472"/>
      <c r="V107" s="472"/>
    </row>
    <row r="108" spans="1:22" ht="19.5" customHeight="1" x14ac:dyDescent="0.2">
      <c r="A108" s="467" t="s">
        <v>515</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246</v>
      </c>
      <c r="C2" s="3" t="s">
        <v>297</v>
      </c>
      <c r="D2" s="3" t="s">
        <v>298</v>
      </c>
      <c r="E2" s="3" t="s">
        <v>249</v>
      </c>
      <c r="F2" s="3" t="s">
        <v>248</v>
      </c>
      <c r="G2" s="3"/>
      <c r="H2" s="3"/>
      <c r="I2" s="3" t="s">
        <v>247</v>
      </c>
      <c r="J2" s="3" t="s">
        <v>250</v>
      </c>
      <c r="K2" s="12"/>
    </row>
    <row r="3" spans="2:11" ht="13.5" thickBot="1" x14ac:dyDescent="0.25">
      <c r="B3" s="8" t="s">
        <v>385</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252</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253</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295</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296</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1" t="s">
        <v>452</v>
      </c>
      <c r="I18" s="601"/>
      <c r="J18" s="601"/>
      <c r="K18" s="602"/>
    </row>
    <row r="20" spans="1:14" ht="13.5" thickBot="1" x14ac:dyDescent="0.25">
      <c r="H20" s="1"/>
      <c r="I20" s="1"/>
      <c r="L20" t="s">
        <v>444</v>
      </c>
    </row>
    <row r="21" spans="1:14" ht="13.5" thickBot="1" x14ac:dyDescent="0.25">
      <c r="E21" t="s">
        <v>308</v>
      </c>
      <c r="F21" s="36">
        <v>0.125</v>
      </c>
      <c r="H21" s="1"/>
      <c r="I21" s="1"/>
      <c r="J21" t="s">
        <v>445</v>
      </c>
      <c r="K21" t="s">
        <v>446</v>
      </c>
      <c r="L21" s="35">
        <v>0.3</v>
      </c>
      <c r="M21" t="s">
        <v>447</v>
      </c>
    </row>
    <row r="22" spans="1:14" x14ac:dyDescent="0.2">
      <c r="A22" s="23" t="s">
        <v>99</v>
      </c>
      <c r="B22" s="3" t="s">
        <v>30</v>
      </c>
      <c r="C22" s="33"/>
      <c r="D22" s="3" t="s">
        <v>149</v>
      </c>
      <c r="E22" s="3">
        <v>4</v>
      </c>
      <c r="F22" s="4"/>
      <c r="G22" s="3">
        <v>325</v>
      </c>
      <c r="H22" s="3">
        <v>25</v>
      </c>
      <c r="I22" s="12">
        <v>5</v>
      </c>
      <c r="J22" s="1"/>
      <c r="K22" s="1">
        <f>(K29-K28-K27)*C22</f>
        <v>0</v>
      </c>
      <c r="M22" s="1">
        <f>J22*F22*(1+L21)</f>
        <v>0</v>
      </c>
    </row>
    <row r="23" spans="1:14" x14ac:dyDescent="0.2">
      <c r="A23" s="21"/>
      <c r="B23" s="4"/>
      <c r="C23" s="25">
        <f>1-C24</f>
        <v>0.5</v>
      </c>
      <c r="D23" s="4" t="s">
        <v>150</v>
      </c>
      <c r="E23" s="4"/>
      <c r="F23" s="4">
        <v>3</v>
      </c>
      <c r="G23" s="4">
        <v>300</v>
      </c>
      <c r="H23" s="4">
        <v>15</v>
      </c>
      <c r="I23" s="9">
        <v>5</v>
      </c>
      <c r="J23" s="1">
        <f>K23/I23</f>
        <v>6412.7</v>
      </c>
      <c r="K23" s="1">
        <f>(K29-K28-K27)*C23</f>
        <v>32063.5</v>
      </c>
      <c r="M23" s="1">
        <f>J23*F23*(1+L21)</f>
        <v>25009.53</v>
      </c>
    </row>
    <row r="24" spans="1:14" x14ac:dyDescent="0.2">
      <c r="A24" s="21"/>
      <c r="B24" s="4"/>
      <c r="C24" s="25">
        <v>0.5</v>
      </c>
      <c r="D24" s="4" t="s">
        <v>151</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152</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442</v>
      </c>
      <c r="J27" s="29">
        <v>1250</v>
      </c>
      <c r="K27" s="1">
        <f>J27*25</f>
        <v>31250</v>
      </c>
      <c r="M27" s="37">
        <f>SUM(M22:M26)</f>
        <v>52425.504910394266</v>
      </c>
      <c r="N27" t="s">
        <v>447</v>
      </c>
    </row>
    <row r="28" spans="1:14" ht="13.5" thickBot="1" x14ac:dyDescent="0.25">
      <c r="H28" s="1"/>
      <c r="I28" s="1" t="s">
        <v>443</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456</v>
      </c>
    </row>
    <row r="32" spans="1:14" ht="13.5" thickBot="1" x14ac:dyDescent="0.25">
      <c r="H32" s="1"/>
      <c r="I32" s="1"/>
      <c r="J32" t="s">
        <v>445</v>
      </c>
      <c r="K32" t="s">
        <v>446</v>
      </c>
      <c r="L32" s="35">
        <v>0.2</v>
      </c>
      <c r="M32" t="s">
        <v>447</v>
      </c>
      <c r="N32" t="s">
        <v>458</v>
      </c>
    </row>
    <row r="33" spans="1:14" x14ac:dyDescent="0.2">
      <c r="A33" s="23" t="s">
        <v>97</v>
      </c>
      <c r="B33" s="12" t="s">
        <v>30</v>
      </c>
      <c r="C33" s="33"/>
      <c r="D33" s="10" t="s">
        <v>145</v>
      </c>
      <c r="E33" s="3">
        <v>3</v>
      </c>
      <c r="F33" s="3"/>
      <c r="G33" s="3">
        <v>325</v>
      </c>
      <c r="H33" s="3">
        <v>25</v>
      </c>
      <c r="I33" s="12">
        <v>5</v>
      </c>
      <c r="J33" s="1"/>
      <c r="K33" s="1">
        <f>(K40-K39-K38)*C33</f>
        <v>0</v>
      </c>
      <c r="M33" s="1"/>
      <c r="N33" s="1"/>
    </row>
    <row r="34" spans="1:14" x14ac:dyDescent="0.2">
      <c r="A34" s="21"/>
      <c r="B34" s="9"/>
      <c r="C34" s="25">
        <f>1-C36</f>
        <v>0.4</v>
      </c>
      <c r="D34" s="8" t="s">
        <v>146</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367</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148</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442</v>
      </c>
      <c r="J38" s="29">
        <v>2337</v>
      </c>
      <c r="K38" s="1">
        <f>J38*25</f>
        <v>58425</v>
      </c>
      <c r="M38" s="37"/>
      <c r="N38" s="37"/>
    </row>
    <row r="39" spans="1:14" ht="13.5" thickBot="1" x14ac:dyDescent="0.25">
      <c r="H39" s="1"/>
      <c r="I39" s="1" t="s">
        <v>457</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297</v>
      </c>
      <c r="D51" s="3" t="s">
        <v>298</v>
      </c>
      <c r="E51" s="3" t="s">
        <v>249</v>
      </c>
      <c r="F51" s="3" t="s">
        <v>248</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318</vt:i4>
      </vt:variant>
    </vt:vector>
  </HeadingPairs>
  <TitlesOfParts>
    <vt:vector size="333"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2021-07-18T15:35:25Z</dcterms:modified>
</cp:coreProperties>
</file>